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Alberto\Desktop\Tesi\Impianti\Cogenerazione\"/>
    </mc:Choice>
  </mc:AlternateContent>
  <xr:revisionPtr revIDLastSave="0" documentId="13_ncr:1_{0B460F19-F14A-4988-8319-D03690CF8912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TABELLE&amp;REG.DEL.UE 2015 24" sheetId="11" r:id="rId1"/>
    <sheet name="Calcolo" sheetId="12" r:id="rId2"/>
    <sheet name="Taratura" sheetId="13" r:id="rId3"/>
    <sheet name="Piano economico" sheetId="1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4" i="13" l="1"/>
  <c r="E257" i="12"/>
  <c r="D257" i="12"/>
  <c r="D34" i="15" l="1"/>
  <c r="D229" i="12" l="1"/>
  <c r="B7" i="15" s="1"/>
  <c r="D230" i="12"/>
  <c r="D231" i="12"/>
  <c r="D232" i="12"/>
  <c r="D228" i="12"/>
  <c r="P36" i="12" l="1"/>
  <c r="P37" i="12"/>
  <c r="P38" i="12"/>
  <c r="P35" i="12"/>
  <c r="P33" i="12"/>
  <c r="P32" i="12"/>
  <c r="P30" i="12"/>
  <c r="P24" i="12"/>
  <c r="P25" i="12"/>
  <c r="P26" i="12"/>
  <c r="P27" i="12"/>
  <c r="P28" i="12"/>
  <c r="P29" i="12"/>
  <c r="P23" i="12"/>
  <c r="O36" i="12"/>
  <c r="O37" i="12"/>
  <c r="O38" i="12"/>
  <c r="O35" i="12"/>
  <c r="M33" i="12"/>
  <c r="M32" i="12"/>
  <c r="D15" i="13"/>
  <c r="C15" i="13"/>
  <c r="E138" i="13" s="1"/>
  <c r="B15" i="13"/>
  <c r="S15" i="13"/>
  <c r="S13" i="13"/>
  <c r="R15" i="13"/>
  <c r="R13" i="13"/>
  <c r="S11" i="13"/>
  <c r="R11" i="13"/>
  <c r="A92" i="15" l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91" i="15"/>
  <c r="I34" i="15" l="1"/>
  <c r="M34" i="15"/>
  <c r="Q34" i="15"/>
  <c r="U34" i="15"/>
  <c r="Y34" i="15"/>
  <c r="AC34" i="15"/>
  <c r="J34" i="15"/>
  <c r="G32" i="15"/>
  <c r="G40" i="15" s="1"/>
  <c r="H32" i="15"/>
  <c r="H40" i="15" s="1"/>
  <c r="I32" i="15"/>
  <c r="I40" i="15" s="1"/>
  <c r="J32" i="15"/>
  <c r="J40" i="15" s="1"/>
  <c r="K32" i="15"/>
  <c r="K40" i="15" s="1"/>
  <c r="L32" i="15"/>
  <c r="L40" i="15" s="1"/>
  <c r="M32" i="15"/>
  <c r="M40" i="15" s="1"/>
  <c r="N32" i="15"/>
  <c r="N40" i="15" s="1"/>
  <c r="O32" i="15"/>
  <c r="O40" i="15" s="1"/>
  <c r="P32" i="15"/>
  <c r="P40" i="15" s="1"/>
  <c r="Q32" i="15"/>
  <c r="Q40" i="15" s="1"/>
  <c r="R32" i="15"/>
  <c r="R40" i="15" s="1"/>
  <c r="S32" i="15"/>
  <c r="S40" i="15" s="1"/>
  <c r="T32" i="15"/>
  <c r="T40" i="15" s="1"/>
  <c r="U32" i="15"/>
  <c r="U40" i="15" s="1"/>
  <c r="V32" i="15"/>
  <c r="V40" i="15" s="1"/>
  <c r="W32" i="15"/>
  <c r="W40" i="15" s="1"/>
  <c r="X32" i="15"/>
  <c r="X40" i="15" s="1"/>
  <c r="Y32" i="15"/>
  <c r="Y40" i="15" s="1"/>
  <c r="Z32" i="15"/>
  <c r="Z40" i="15" s="1"/>
  <c r="AA32" i="15"/>
  <c r="AA40" i="15" s="1"/>
  <c r="AB32" i="15"/>
  <c r="AB40" i="15" s="1"/>
  <c r="AC32" i="15"/>
  <c r="AC40" i="15" s="1"/>
  <c r="AD32" i="15"/>
  <c r="AD40" i="15" s="1"/>
  <c r="F32" i="15"/>
  <c r="F40" i="15" s="1"/>
  <c r="D65" i="15"/>
  <c r="I65" i="15" s="1"/>
  <c r="D189" i="12"/>
  <c r="B3" i="15"/>
  <c r="D41" i="15" s="1"/>
  <c r="B2" i="15"/>
  <c r="G44" i="15"/>
  <c r="H44" i="15" s="1"/>
  <c r="I44" i="15" s="1"/>
  <c r="J44" i="15" s="1"/>
  <c r="K44" i="15" s="1"/>
  <c r="L44" i="15" s="1"/>
  <c r="AD43" i="15"/>
  <c r="AC43" i="15"/>
  <c r="AB43" i="15"/>
  <c r="AA43" i="15"/>
  <c r="Z43" i="15"/>
  <c r="Y43" i="15"/>
  <c r="X43" i="15"/>
  <c r="W43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28" i="15"/>
  <c r="D28" i="15"/>
  <c r="F24" i="15"/>
  <c r="G24" i="15" s="1"/>
  <c r="H24" i="15" s="1"/>
  <c r="I24" i="15" s="1"/>
  <c r="J24" i="15" s="1"/>
  <c r="K24" i="15" s="1"/>
  <c r="L24" i="15" s="1"/>
  <c r="M24" i="15" s="1"/>
  <c r="N24" i="15" s="1"/>
  <c r="O24" i="15" s="1"/>
  <c r="P24" i="15" s="1"/>
  <c r="Q24" i="15" s="1"/>
  <c r="R24" i="15" s="1"/>
  <c r="S24" i="15" s="1"/>
  <c r="T24" i="15" s="1"/>
  <c r="U24" i="15" s="1"/>
  <c r="V24" i="15" s="1"/>
  <c r="W24" i="15" s="1"/>
  <c r="X24" i="15" s="1"/>
  <c r="Y24" i="15" s="1"/>
  <c r="Z24" i="15" s="1"/>
  <c r="AA24" i="15" s="1"/>
  <c r="AB24" i="15" s="1"/>
  <c r="AC24" i="15" s="1"/>
  <c r="AD24" i="15" s="1"/>
  <c r="B15" i="15"/>
  <c r="B16" i="15" s="1"/>
  <c r="B13" i="15"/>
  <c r="D193" i="12"/>
  <c r="D191" i="12"/>
  <c r="G122" i="12"/>
  <c r="G127" i="12"/>
  <c r="G130" i="12"/>
  <c r="D132" i="12"/>
  <c r="F132" i="12" s="1"/>
  <c r="D131" i="12"/>
  <c r="F131" i="12" s="1"/>
  <c r="D130" i="12"/>
  <c r="F130" i="12" s="1"/>
  <c r="D129" i="12"/>
  <c r="F129" i="12" s="1"/>
  <c r="D128" i="12"/>
  <c r="F128" i="12" s="1"/>
  <c r="D127" i="12"/>
  <c r="F127" i="12" s="1"/>
  <c r="D126" i="12"/>
  <c r="F126" i="12" s="1"/>
  <c r="D125" i="12"/>
  <c r="F125" i="12" s="1"/>
  <c r="D124" i="12"/>
  <c r="F124" i="12" s="1"/>
  <c r="D123" i="12"/>
  <c r="F123" i="12" s="1"/>
  <c r="D122" i="12"/>
  <c r="F122" i="12" s="1"/>
  <c r="D121" i="12"/>
  <c r="F121" i="12" s="1"/>
  <c r="D120" i="12"/>
  <c r="F120" i="12" s="1"/>
  <c r="D119" i="12"/>
  <c r="F119" i="12" s="1"/>
  <c r="M103" i="12"/>
  <c r="M104" i="12"/>
  <c r="M105" i="12"/>
  <c r="M102" i="12"/>
  <c r="P7" i="12"/>
  <c r="G120" i="12" s="1"/>
  <c r="P8" i="12"/>
  <c r="I9" i="12" s="1"/>
  <c r="P9" i="12"/>
  <c r="P10" i="12"/>
  <c r="G123" i="12" s="1"/>
  <c r="P11" i="12"/>
  <c r="G124" i="12" s="1"/>
  <c r="P12" i="12"/>
  <c r="G125" i="12" s="1"/>
  <c r="P13" i="12"/>
  <c r="G126" i="12" s="1"/>
  <c r="P14" i="12"/>
  <c r="L92" i="12" s="1"/>
  <c r="P15" i="12"/>
  <c r="G128" i="12" s="1"/>
  <c r="P16" i="12"/>
  <c r="L88" i="12" s="1"/>
  <c r="P17" i="12"/>
  <c r="P18" i="12"/>
  <c r="G131" i="12" s="1"/>
  <c r="P19" i="12"/>
  <c r="G132" i="12" s="1"/>
  <c r="P6" i="12"/>
  <c r="G119" i="12" s="1"/>
  <c r="E29" i="13"/>
  <c r="F9" i="12" s="1"/>
  <c r="D9" i="12" s="1"/>
  <c r="F16" i="12" l="1"/>
  <c r="D16" i="12" s="1"/>
  <c r="F7" i="12"/>
  <c r="D7" i="12" s="1"/>
  <c r="F6" i="12"/>
  <c r="D6" i="12" s="1"/>
  <c r="F12" i="12"/>
  <c r="D12" i="12" s="1"/>
  <c r="F8" i="12"/>
  <c r="D8" i="12" s="1"/>
  <c r="F15" i="12"/>
  <c r="D15" i="12" s="1"/>
  <c r="F19" i="12"/>
  <c r="D19" i="12" s="1"/>
  <c r="F11" i="12"/>
  <c r="D11" i="12" s="1"/>
  <c r="F18" i="12"/>
  <c r="D18" i="12" s="1"/>
  <c r="F14" i="12"/>
  <c r="D14" i="12" s="1"/>
  <c r="F10" i="12"/>
  <c r="D10" i="12" s="1"/>
  <c r="F17" i="12"/>
  <c r="D17" i="12" s="1"/>
  <c r="F13" i="12"/>
  <c r="D13" i="12" s="1"/>
  <c r="AB34" i="15"/>
  <c r="X34" i="15"/>
  <c r="T34" i="15"/>
  <c r="P34" i="15"/>
  <c r="L34" i="15"/>
  <c r="H34" i="15"/>
  <c r="F34" i="15"/>
  <c r="AA34" i="15"/>
  <c r="W34" i="15"/>
  <c r="S34" i="15"/>
  <c r="O34" i="15"/>
  <c r="K34" i="15"/>
  <c r="G34" i="15"/>
  <c r="AD34" i="15"/>
  <c r="Z34" i="15"/>
  <c r="V34" i="15"/>
  <c r="R34" i="15"/>
  <c r="N34" i="15"/>
  <c r="J51" i="15"/>
  <c r="I51" i="15"/>
  <c r="L51" i="15"/>
  <c r="H51" i="15"/>
  <c r="F51" i="15"/>
  <c r="K51" i="15"/>
  <c r="G51" i="15"/>
  <c r="M107" i="12"/>
  <c r="G129" i="12"/>
  <c r="G121" i="12"/>
  <c r="I7" i="12"/>
  <c r="G28" i="15"/>
  <c r="H28" i="15" s="1"/>
  <c r="I28" i="15" s="1"/>
  <c r="J28" i="15" s="1"/>
  <c r="K28" i="15" s="1"/>
  <c r="L28" i="15" s="1"/>
  <c r="M28" i="15" s="1"/>
  <c r="N28" i="15" s="1"/>
  <c r="O28" i="15" s="1"/>
  <c r="P28" i="15" s="1"/>
  <c r="Q28" i="15" s="1"/>
  <c r="R28" i="15" s="1"/>
  <c r="S28" i="15" s="1"/>
  <c r="T28" i="15" s="1"/>
  <c r="U28" i="15" s="1"/>
  <c r="V28" i="15" s="1"/>
  <c r="W28" i="15" s="1"/>
  <c r="X28" i="15" s="1"/>
  <c r="Y28" i="15" s="1"/>
  <c r="Z28" i="15" s="1"/>
  <c r="AA28" i="15" s="1"/>
  <c r="AB28" i="15" s="1"/>
  <c r="AC28" i="15" s="1"/>
  <c r="AD28" i="15" s="1"/>
  <c r="M44" i="15"/>
  <c r="AB65" i="15"/>
  <c r="X65" i="15"/>
  <c r="T65" i="15"/>
  <c r="P65" i="15"/>
  <c r="L65" i="15"/>
  <c r="H65" i="15"/>
  <c r="AA65" i="15"/>
  <c r="W65" i="15"/>
  <c r="S65" i="15"/>
  <c r="O65" i="15"/>
  <c r="K65" i="15"/>
  <c r="G65" i="15"/>
  <c r="AD65" i="15"/>
  <c r="Z65" i="15"/>
  <c r="V65" i="15"/>
  <c r="R65" i="15"/>
  <c r="N65" i="15"/>
  <c r="J65" i="15"/>
  <c r="F65" i="15"/>
  <c r="U65" i="15"/>
  <c r="Q65" i="15"/>
  <c r="AC65" i="15"/>
  <c r="M65" i="15"/>
  <c r="Y65" i="15"/>
  <c r="B8" i="15"/>
  <c r="I18" i="12"/>
  <c r="I14" i="12"/>
  <c r="I10" i="12"/>
  <c r="I13" i="12"/>
  <c r="I16" i="12"/>
  <c r="I12" i="12"/>
  <c r="I8" i="12"/>
  <c r="I19" i="12"/>
  <c r="I11" i="12"/>
  <c r="L86" i="12"/>
  <c r="L90" i="12"/>
  <c r="I15" i="12"/>
  <c r="I17" i="12"/>
  <c r="N44" i="15" l="1"/>
  <c r="M51" i="15"/>
  <c r="AE65" i="15"/>
  <c r="O44" i="15"/>
  <c r="B10" i="15"/>
  <c r="H3" i="15"/>
  <c r="J58" i="15" l="1"/>
  <c r="N58" i="15"/>
  <c r="R58" i="15"/>
  <c r="V58" i="15"/>
  <c r="Z58" i="15"/>
  <c r="AD58" i="15"/>
  <c r="K58" i="15"/>
  <c r="O58" i="15"/>
  <c r="S58" i="15"/>
  <c r="W58" i="15"/>
  <c r="AA58" i="15"/>
  <c r="F58" i="15"/>
  <c r="L58" i="15"/>
  <c r="P58" i="15"/>
  <c r="T58" i="15"/>
  <c r="X58" i="15"/>
  <c r="AB58" i="15"/>
  <c r="I58" i="15"/>
  <c r="M58" i="15"/>
  <c r="Q58" i="15"/>
  <c r="U58" i="15"/>
  <c r="Y58" i="15"/>
  <c r="AC58" i="15"/>
  <c r="G58" i="15"/>
  <c r="H58" i="15"/>
  <c r="S57" i="15"/>
  <c r="P57" i="15"/>
  <c r="T57" i="15"/>
  <c r="Q57" i="15"/>
  <c r="R57" i="15"/>
  <c r="I57" i="15"/>
  <c r="M57" i="15"/>
  <c r="L57" i="15"/>
  <c r="J57" i="15"/>
  <c r="N57" i="15"/>
  <c r="F57" i="15"/>
  <c r="G57" i="15"/>
  <c r="K57" i="15"/>
  <c r="O57" i="15"/>
  <c r="H57" i="15"/>
  <c r="O51" i="15"/>
  <c r="N51" i="15"/>
  <c r="E67" i="15"/>
  <c r="P44" i="15"/>
  <c r="D142" i="13"/>
  <c r="D143" i="13"/>
  <c r="D144" i="13"/>
  <c r="D145" i="13"/>
  <c r="D146" i="13"/>
  <c r="D147" i="13"/>
  <c r="D148" i="13"/>
  <c r="D149" i="13"/>
  <c r="D150" i="13"/>
  <c r="D151" i="13"/>
  <c r="D152" i="13"/>
  <c r="D141" i="13"/>
  <c r="K92" i="12"/>
  <c r="K90" i="12"/>
  <c r="K88" i="12"/>
  <c r="K8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6" i="12"/>
  <c r="E64" i="12"/>
  <c r="D148" i="12" s="1"/>
  <c r="P51" i="15" l="1"/>
  <c r="D173" i="12"/>
  <c r="D187" i="12" s="1"/>
  <c r="D195" i="12" s="1"/>
  <c r="D198" i="12" s="1"/>
  <c r="E173" i="12"/>
  <c r="Q44" i="15"/>
  <c r="E69" i="15"/>
  <c r="L91" i="12"/>
  <c r="O87" i="12" s="1"/>
  <c r="O6" i="12"/>
  <c r="E143" i="13"/>
  <c r="F143" i="13" s="1"/>
  <c r="O8" i="12"/>
  <c r="O12" i="12"/>
  <c r="O16" i="12"/>
  <c r="O7" i="12"/>
  <c r="O9" i="12"/>
  <c r="O10" i="12"/>
  <c r="O11" i="12"/>
  <c r="O13" i="12"/>
  <c r="O14" i="12"/>
  <c r="O15" i="12"/>
  <c r="O17" i="12"/>
  <c r="O18" i="12"/>
  <c r="O19" i="12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C106" i="13"/>
  <c r="K76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63" i="13"/>
  <c r="B93" i="13" s="1"/>
  <c r="H65" i="13"/>
  <c r="H66" i="13" s="1"/>
  <c r="H67" i="13" s="1"/>
  <c r="H68" i="13" s="1"/>
  <c r="H69" i="13" s="1"/>
  <c r="H70" i="13" s="1"/>
  <c r="H71" i="13" s="1"/>
  <c r="H72" i="13" s="1"/>
  <c r="H73" i="13" s="1"/>
  <c r="H74" i="13" s="1"/>
  <c r="H75" i="13" s="1"/>
  <c r="D110" i="13"/>
  <c r="C105" i="13"/>
  <c r="C104" i="13"/>
  <c r="C103" i="13"/>
  <c r="C102" i="13"/>
  <c r="C101" i="13"/>
  <c r="C100" i="13"/>
  <c r="C99" i="13"/>
  <c r="C98" i="13"/>
  <c r="C97" i="13"/>
  <c r="C96" i="13"/>
  <c r="C95" i="13"/>
  <c r="C94" i="13"/>
  <c r="C93" i="13"/>
  <c r="O221" i="13"/>
  <c r="N221" i="13"/>
  <c r="M221" i="13"/>
  <c r="L221" i="13"/>
  <c r="K221" i="13"/>
  <c r="J221" i="13"/>
  <c r="I221" i="13"/>
  <c r="H221" i="13"/>
  <c r="G221" i="13"/>
  <c r="F221" i="13"/>
  <c r="E221" i="13"/>
  <c r="D221" i="13"/>
  <c r="C221" i="13"/>
  <c r="O220" i="13"/>
  <c r="N220" i="13"/>
  <c r="N222" i="13" s="1"/>
  <c r="M220" i="13"/>
  <c r="M222" i="13" s="1"/>
  <c r="L220" i="13"/>
  <c r="K220" i="13"/>
  <c r="J220" i="13"/>
  <c r="J222" i="13" s="1"/>
  <c r="I220" i="13"/>
  <c r="I222" i="13" s="1"/>
  <c r="H220" i="13"/>
  <c r="G220" i="13"/>
  <c r="F220" i="13"/>
  <c r="F222" i="13" s="1"/>
  <c r="E220" i="13"/>
  <c r="E222" i="13" s="1"/>
  <c r="D220" i="13"/>
  <c r="C220" i="13"/>
  <c r="D22" i="13"/>
  <c r="C22" i="13"/>
  <c r="B22" i="13"/>
  <c r="L11" i="13"/>
  <c r="L10" i="13"/>
  <c r="L9" i="13"/>
  <c r="L8" i="13"/>
  <c r="L7" i="13"/>
  <c r="E88" i="12"/>
  <c r="E87" i="12"/>
  <c r="J75" i="12"/>
  <c r="S73" i="12"/>
  <c r="D80" i="12" s="1"/>
  <c r="B106" i="13" l="1"/>
  <c r="D106" i="13" s="1"/>
  <c r="B105" i="13"/>
  <c r="D105" i="13" s="1"/>
  <c r="B101" i="13"/>
  <c r="D101" i="13" s="1"/>
  <c r="C222" i="13"/>
  <c r="G222" i="13"/>
  <c r="K222" i="13"/>
  <c r="O222" i="13"/>
  <c r="B98" i="13"/>
  <c r="D98" i="13" s="1"/>
  <c r="D125" i="13"/>
  <c r="E121" i="13" s="1"/>
  <c r="B102" i="13"/>
  <c r="D102" i="13" s="1"/>
  <c r="B94" i="13"/>
  <c r="D94" i="13" s="1"/>
  <c r="B97" i="13"/>
  <c r="D97" i="13" s="1"/>
  <c r="E117" i="13"/>
  <c r="B103" i="13"/>
  <c r="D103" i="13" s="1"/>
  <c r="B99" i="13"/>
  <c r="D99" i="13" s="1"/>
  <c r="B95" i="13"/>
  <c r="D95" i="13" s="1"/>
  <c r="E111" i="13"/>
  <c r="E141" i="13"/>
  <c r="F141" i="13" s="1"/>
  <c r="E34" i="13"/>
  <c r="E32" i="13"/>
  <c r="B104" i="13"/>
  <c r="D104" i="13" s="1"/>
  <c r="B100" i="13"/>
  <c r="D100" i="13" s="1"/>
  <c r="B96" i="13"/>
  <c r="D96" i="13" s="1"/>
  <c r="E146" i="13"/>
  <c r="F146" i="13" s="1"/>
  <c r="L13" i="13"/>
  <c r="E150" i="13"/>
  <c r="F150" i="13" s="1"/>
  <c r="D222" i="13"/>
  <c r="H222" i="13"/>
  <c r="L222" i="13"/>
  <c r="E145" i="13"/>
  <c r="F145" i="13" s="1"/>
  <c r="C165" i="13" s="1"/>
  <c r="Q51" i="15"/>
  <c r="E102" i="12"/>
  <c r="D168" i="12"/>
  <c r="E101" i="12"/>
  <c r="D167" i="12"/>
  <c r="R44" i="15"/>
  <c r="E144" i="13"/>
  <c r="F144" i="13" s="1"/>
  <c r="C163" i="13" s="1"/>
  <c r="E148" i="13"/>
  <c r="F148" i="13" s="1"/>
  <c r="E152" i="13"/>
  <c r="F152" i="13" s="1"/>
  <c r="C164" i="13" s="1"/>
  <c r="E147" i="13"/>
  <c r="F147" i="13" s="1"/>
  <c r="C170" i="13" s="1"/>
  <c r="E142" i="13"/>
  <c r="F142" i="13" s="1"/>
  <c r="E151" i="13"/>
  <c r="F151" i="13" s="1"/>
  <c r="C166" i="13" s="1"/>
  <c r="E149" i="13"/>
  <c r="F149" i="13" s="1"/>
  <c r="C169" i="13" s="1"/>
  <c r="D93" i="13"/>
  <c r="E93" i="13" s="1"/>
  <c r="L87" i="12"/>
  <c r="E90" i="12"/>
  <c r="E94" i="12" s="1"/>
  <c r="J7" i="12"/>
  <c r="E102" i="13" l="1"/>
  <c r="E105" i="13"/>
  <c r="E122" i="13"/>
  <c r="C172" i="13"/>
  <c r="C171" i="13"/>
  <c r="C161" i="13"/>
  <c r="C162" i="13"/>
  <c r="E115" i="13"/>
  <c r="C160" i="13"/>
  <c r="C159" i="13"/>
  <c r="E114" i="13"/>
  <c r="E120" i="13"/>
  <c r="E106" i="13"/>
  <c r="E110" i="13"/>
  <c r="E119" i="13"/>
  <c r="E112" i="13"/>
  <c r="E125" i="13" s="1"/>
  <c r="F112" i="13" s="1"/>
  <c r="D162" i="13" s="1"/>
  <c r="C168" i="13"/>
  <c r="C167" i="13"/>
  <c r="E118" i="13"/>
  <c r="E116" i="13"/>
  <c r="E113" i="13"/>
  <c r="E95" i="13"/>
  <c r="E104" i="13"/>
  <c r="E99" i="13"/>
  <c r="E96" i="13"/>
  <c r="E103" i="13"/>
  <c r="E97" i="13"/>
  <c r="E100" i="13"/>
  <c r="E101" i="13"/>
  <c r="E94" i="13"/>
  <c r="E98" i="13"/>
  <c r="R51" i="15"/>
  <c r="O86" i="12"/>
  <c r="L143" i="12" s="1"/>
  <c r="O102" i="12"/>
  <c r="O103" i="12"/>
  <c r="P104" i="12" s="1"/>
  <c r="E93" i="12"/>
  <c r="S44" i="15"/>
  <c r="E154" i="13"/>
  <c r="K91" i="12"/>
  <c r="J8" i="12"/>
  <c r="J9" i="12" s="1"/>
  <c r="J10" i="12" s="1"/>
  <c r="J11" i="12" s="1"/>
  <c r="J12" i="12" s="1"/>
  <c r="J13" i="12" s="1"/>
  <c r="J14" i="12" s="1"/>
  <c r="J15" i="12" s="1"/>
  <c r="J16" i="12" s="1"/>
  <c r="J17" i="12" s="1"/>
  <c r="J18" i="12" s="1"/>
  <c r="J19" i="12" s="1"/>
  <c r="K87" i="12"/>
  <c r="F119" i="13" l="1"/>
  <c r="D169" i="13" s="1"/>
  <c r="F110" i="13"/>
  <c r="D160" i="13" s="1"/>
  <c r="F111" i="13"/>
  <c r="D161" i="13" s="1"/>
  <c r="F121" i="13"/>
  <c r="D171" i="13" s="1"/>
  <c r="F109" i="13"/>
  <c r="D159" i="13" s="1"/>
  <c r="F122" i="13"/>
  <c r="D172" i="13" s="1"/>
  <c r="F118" i="13"/>
  <c r="D168" i="13" s="1"/>
  <c r="F120" i="13"/>
  <c r="D170" i="13" s="1"/>
  <c r="F117" i="13"/>
  <c r="D167" i="13" s="1"/>
  <c r="F116" i="13"/>
  <c r="D166" i="13" s="1"/>
  <c r="F115" i="13"/>
  <c r="D165" i="13" s="1"/>
  <c r="F114" i="13"/>
  <c r="D164" i="13" s="1"/>
  <c r="F113" i="13"/>
  <c r="D163" i="13" s="1"/>
  <c r="S51" i="15"/>
  <c r="P103" i="12"/>
  <c r="P102" i="12"/>
  <c r="P107" i="12" s="1"/>
  <c r="K144" i="12" s="1"/>
  <c r="N86" i="12"/>
  <c r="K143" i="12"/>
  <c r="T44" i="15"/>
  <c r="T51" i="15" l="1"/>
  <c r="L144" i="12"/>
  <c r="L145" i="12" s="1"/>
  <c r="M63" i="12"/>
  <c r="K145" i="12"/>
  <c r="M73" i="12"/>
  <c r="U44" i="15"/>
  <c r="H87" i="12"/>
  <c r="U51" i="15" l="1"/>
  <c r="G36" i="15"/>
  <c r="K36" i="15"/>
  <c r="O36" i="15"/>
  <c r="S36" i="15"/>
  <c r="W36" i="15"/>
  <c r="AA36" i="15"/>
  <c r="F36" i="15"/>
  <c r="I36" i="15"/>
  <c r="U36" i="15"/>
  <c r="AC36" i="15"/>
  <c r="J36" i="15"/>
  <c r="R36" i="15"/>
  <c r="V36" i="15"/>
  <c r="AD36" i="15"/>
  <c r="H36" i="15"/>
  <c r="L36" i="15"/>
  <c r="P36" i="15"/>
  <c r="T36" i="15"/>
  <c r="X36" i="15"/>
  <c r="AB36" i="15"/>
  <c r="M36" i="15"/>
  <c r="Q36" i="15"/>
  <c r="Y36" i="15"/>
  <c r="N36" i="15"/>
  <c r="Z36" i="15"/>
  <c r="H109" i="12"/>
  <c r="H110" i="12" s="1"/>
  <c r="H88" i="12"/>
  <c r="D158" i="12"/>
  <c r="D203" i="12"/>
  <c r="E66" i="12"/>
  <c r="P65" i="12" s="1"/>
  <c r="D145" i="12" s="1"/>
  <c r="D152" i="12" s="1"/>
  <c r="D170" i="12" s="1"/>
  <c r="F26" i="15"/>
  <c r="C49" i="15" s="1"/>
  <c r="D160" i="12"/>
  <c r="D202" i="12"/>
  <c r="V44" i="15"/>
  <c r="P69" i="12"/>
  <c r="D146" i="12" s="1"/>
  <c r="D154" i="12" s="1"/>
  <c r="H75" i="12" l="1"/>
  <c r="D147" i="12" s="1"/>
  <c r="D156" i="12" s="1"/>
  <c r="C50" i="15"/>
  <c r="F49" i="15"/>
  <c r="L49" i="15"/>
  <c r="K49" i="15"/>
  <c r="J49" i="15"/>
  <c r="G49" i="15"/>
  <c r="H49" i="15"/>
  <c r="I49" i="15"/>
  <c r="M49" i="15"/>
  <c r="N49" i="15"/>
  <c r="O49" i="15"/>
  <c r="P49" i="15"/>
  <c r="Q49" i="15"/>
  <c r="R49" i="15"/>
  <c r="S49" i="15"/>
  <c r="T49" i="15"/>
  <c r="U49" i="15"/>
  <c r="V51" i="15"/>
  <c r="V50" i="15"/>
  <c r="V49" i="15"/>
  <c r="E95" i="12"/>
  <c r="E99" i="12" s="1"/>
  <c r="G26" i="15"/>
  <c r="F30" i="15"/>
  <c r="D204" i="12"/>
  <c r="D162" i="12"/>
  <c r="D175" i="12"/>
  <c r="C47" i="15" s="1"/>
  <c r="H90" i="12"/>
  <c r="D205" i="12"/>
  <c r="W44" i="15"/>
  <c r="R67" i="12"/>
  <c r="W47" i="15" l="1"/>
  <c r="F47" i="15"/>
  <c r="I47" i="15"/>
  <c r="K47" i="15"/>
  <c r="L47" i="15"/>
  <c r="G47" i="15"/>
  <c r="J47" i="15"/>
  <c r="H47" i="15"/>
  <c r="M47" i="15"/>
  <c r="O47" i="15"/>
  <c r="N47" i="15"/>
  <c r="P47" i="15"/>
  <c r="Q47" i="15"/>
  <c r="R47" i="15"/>
  <c r="S47" i="15"/>
  <c r="T47" i="15"/>
  <c r="U47" i="15"/>
  <c r="V47" i="15"/>
  <c r="L50" i="15"/>
  <c r="F50" i="15"/>
  <c r="G50" i="15"/>
  <c r="H50" i="15"/>
  <c r="K50" i="15"/>
  <c r="I50" i="15"/>
  <c r="I53" i="15" s="1"/>
  <c r="J50" i="15"/>
  <c r="M50" i="15"/>
  <c r="M53" i="15" s="1"/>
  <c r="N50" i="15"/>
  <c r="N53" i="15" s="1"/>
  <c r="O50" i="15"/>
  <c r="O53" i="15" s="1"/>
  <c r="P50" i="15"/>
  <c r="Q50" i="15"/>
  <c r="Q53" i="15" s="1"/>
  <c r="R50" i="15"/>
  <c r="R53" i="15" s="1"/>
  <c r="S50" i="15"/>
  <c r="S53" i="15" s="1"/>
  <c r="T50" i="15"/>
  <c r="U50" i="15"/>
  <c r="U53" i="15" s="1"/>
  <c r="V53" i="15"/>
  <c r="W50" i="15"/>
  <c r="W49" i="15"/>
  <c r="W51" i="15"/>
  <c r="H26" i="15"/>
  <c r="G30" i="15"/>
  <c r="D213" i="12"/>
  <c r="D215" i="12" s="1"/>
  <c r="X44" i="15"/>
  <c r="X47" i="15" s="1"/>
  <c r="E104" i="12"/>
  <c r="F53" i="15" l="1"/>
  <c r="L53" i="15"/>
  <c r="J53" i="15"/>
  <c r="G53" i="15"/>
  <c r="Q38" i="15"/>
  <c r="P38" i="15"/>
  <c r="R38" i="15"/>
  <c r="S38" i="15"/>
  <c r="T38" i="15"/>
  <c r="K53" i="15"/>
  <c r="H53" i="15"/>
  <c r="T53" i="15"/>
  <c r="P53" i="15"/>
  <c r="W53" i="15"/>
  <c r="X49" i="15"/>
  <c r="X50" i="15"/>
  <c r="X51" i="15"/>
  <c r="H38" i="15"/>
  <c r="L38" i="15"/>
  <c r="K38" i="15"/>
  <c r="F38" i="15"/>
  <c r="I38" i="15"/>
  <c r="M38" i="15"/>
  <c r="J38" i="15"/>
  <c r="N38" i="15"/>
  <c r="G38" i="15"/>
  <c r="O38" i="15"/>
  <c r="H30" i="15"/>
  <c r="I26" i="15"/>
  <c r="Y44" i="15"/>
  <c r="Y47" i="15" s="1"/>
  <c r="F45" i="15" l="1"/>
  <c r="F55" i="15" s="1"/>
  <c r="F61" i="15" s="1"/>
  <c r="G45" i="15"/>
  <c r="G55" i="15" s="1"/>
  <c r="G61" i="15" s="1"/>
  <c r="H45" i="15"/>
  <c r="H55" i="15" s="1"/>
  <c r="H61" i="15" s="1"/>
  <c r="X53" i="15"/>
  <c r="Y51" i="15"/>
  <c r="Y50" i="15"/>
  <c r="Y49" i="15"/>
  <c r="J26" i="15"/>
  <c r="I30" i="15"/>
  <c r="I45" i="15" s="1"/>
  <c r="Z44" i="15"/>
  <c r="Z47" i="15" s="1"/>
  <c r="Y53" i="15" l="1"/>
  <c r="G64" i="15"/>
  <c r="G63" i="15"/>
  <c r="F74" i="15"/>
  <c r="Z50" i="15"/>
  <c r="Z49" i="15"/>
  <c r="Z51" i="15"/>
  <c r="I55" i="15"/>
  <c r="I61" i="15" s="1"/>
  <c r="F64" i="15"/>
  <c r="F63" i="15"/>
  <c r="H64" i="15"/>
  <c r="H63" i="15"/>
  <c r="J30" i="15"/>
  <c r="J45" i="15" s="1"/>
  <c r="K26" i="15"/>
  <c r="AA44" i="15"/>
  <c r="AA47" i="15" s="1"/>
  <c r="G67" i="15" l="1"/>
  <c r="Z53" i="15"/>
  <c r="AA49" i="15"/>
  <c r="AA50" i="15"/>
  <c r="AA51" i="15"/>
  <c r="J55" i="15"/>
  <c r="J61" i="15" s="1"/>
  <c r="H67" i="15"/>
  <c r="F67" i="15"/>
  <c r="F69" i="15" s="1"/>
  <c r="I63" i="15"/>
  <c r="I64" i="15"/>
  <c r="K30" i="15"/>
  <c r="K45" i="15" s="1"/>
  <c r="L26" i="15"/>
  <c r="AB44" i="15"/>
  <c r="AB47" i="15" s="1"/>
  <c r="AA53" i="15" l="1"/>
  <c r="AB50" i="15"/>
  <c r="AB49" i="15"/>
  <c r="AB51" i="15"/>
  <c r="I67" i="15"/>
  <c r="K55" i="15"/>
  <c r="K61" i="15" s="1"/>
  <c r="G69" i="15"/>
  <c r="H69" i="15" s="1"/>
  <c r="F76" i="15"/>
  <c r="J63" i="15"/>
  <c r="J64" i="15"/>
  <c r="L30" i="15"/>
  <c r="L45" i="15" s="1"/>
  <c r="M26" i="15"/>
  <c r="AC44" i="15"/>
  <c r="AC47" i="15" s="1"/>
  <c r="AB53" i="15" l="1"/>
  <c r="AC51" i="15"/>
  <c r="AC49" i="15"/>
  <c r="AC50" i="15"/>
  <c r="J67" i="15"/>
  <c r="I69" i="15"/>
  <c r="L55" i="15"/>
  <c r="L61" i="15" s="1"/>
  <c r="N26" i="15"/>
  <c r="M30" i="15"/>
  <c r="M45" i="15" s="1"/>
  <c r="K63" i="15"/>
  <c r="K64" i="15"/>
  <c r="AD44" i="15"/>
  <c r="AD47" i="15" s="1"/>
  <c r="AC53" i="15" l="1"/>
  <c r="AE47" i="15"/>
  <c r="AD49" i="15"/>
  <c r="AD50" i="15"/>
  <c r="AE50" i="15" s="1"/>
  <c r="AD51" i="15"/>
  <c r="AE51" i="15" s="1"/>
  <c r="J69" i="15"/>
  <c r="K67" i="15"/>
  <c r="M55" i="15"/>
  <c r="M61" i="15" s="1"/>
  <c r="L64" i="15"/>
  <c r="L63" i="15"/>
  <c r="O26" i="15"/>
  <c r="N30" i="15"/>
  <c r="N45" i="15" s="1"/>
  <c r="AD53" i="15" l="1"/>
  <c r="K69" i="15"/>
  <c r="N55" i="15"/>
  <c r="N61" i="15" s="1"/>
  <c r="L67" i="15"/>
  <c r="P26" i="15"/>
  <c r="O30" i="15"/>
  <c r="O45" i="15" s="1"/>
  <c r="M63" i="15"/>
  <c r="M64" i="15"/>
  <c r="L69" i="15" l="1"/>
  <c r="M67" i="15"/>
  <c r="O55" i="15"/>
  <c r="O61" i="15" s="1"/>
  <c r="P30" i="15"/>
  <c r="P45" i="15" s="1"/>
  <c r="Q26" i="15"/>
  <c r="N63" i="15"/>
  <c r="N64" i="15"/>
  <c r="M69" i="15" l="1"/>
  <c r="P55" i="15"/>
  <c r="P61" i="15" s="1"/>
  <c r="R26" i="15"/>
  <c r="Q30" i="15"/>
  <c r="Q45" i="15" s="1"/>
  <c r="N67" i="15"/>
  <c r="O63" i="15"/>
  <c r="O64" i="15"/>
  <c r="N69" i="15" l="1"/>
  <c r="Q55" i="15"/>
  <c r="Q61" i="15" s="1"/>
  <c r="S26" i="15"/>
  <c r="R30" i="15"/>
  <c r="R45" i="15" s="1"/>
  <c r="O67" i="15"/>
  <c r="P63" i="15"/>
  <c r="P64" i="15"/>
  <c r="O69" i="15" l="1"/>
  <c r="R55" i="15"/>
  <c r="R61" i="15" s="1"/>
  <c r="P67" i="15"/>
  <c r="P69" i="15" s="1"/>
  <c r="Q64" i="15"/>
  <c r="Q63" i="15"/>
  <c r="S30" i="15"/>
  <c r="S45" i="15" s="1"/>
  <c r="T26" i="15"/>
  <c r="S55" i="15" l="1"/>
  <c r="S61" i="15" s="1"/>
  <c r="Q67" i="15"/>
  <c r="Q69" i="15" s="1"/>
  <c r="R63" i="15"/>
  <c r="R64" i="15"/>
  <c r="T30" i="15"/>
  <c r="T45" i="15" s="1"/>
  <c r="U26" i="15"/>
  <c r="T55" i="15" l="1"/>
  <c r="T61" i="15" s="1"/>
  <c r="R67" i="15"/>
  <c r="R69" i="15" s="1"/>
  <c r="U30" i="15"/>
  <c r="U45" i="15" s="1"/>
  <c r="V26" i="15"/>
  <c r="S64" i="15"/>
  <c r="S63" i="15"/>
  <c r="U55" i="15" l="1"/>
  <c r="U61" i="15" s="1"/>
  <c r="S67" i="15"/>
  <c r="W26" i="15"/>
  <c r="V30" i="15"/>
  <c r="V45" i="15" s="1"/>
  <c r="T63" i="15"/>
  <c r="T64" i="15"/>
  <c r="T67" i="15" l="1"/>
  <c r="U63" i="15"/>
  <c r="U64" i="15"/>
  <c r="V55" i="15"/>
  <c r="V61" i="15" s="1"/>
  <c r="S69" i="15"/>
  <c r="X26" i="15"/>
  <c r="W30" i="15"/>
  <c r="W45" i="15" s="1"/>
  <c r="T69" i="15" l="1"/>
  <c r="U67" i="15"/>
  <c r="V64" i="15"/>
  <c r="V63" i="15"/>
  <c r="W55" i="15"/>
  <c r="W61" i="15" s="1"/>
  <c r="X30" i="15"/>
  <c r="X45" i="15" s="1"/>
  <c r="Y26" i="15"/>
  <c r="U69" i="15" l="1"/>
  <c r="W63" i="15"/>
  <c r="W64" i="15"/>
  <c r="X55" i="15"/>
  <c r="X61" i="15" s="1"/>
  <c r="X63" i="15" s="1"/>
  <c r="V67" i="15"/>
  <c r="Z26" i="15"/>
  <c r="Y30" i="15"/>
  <c r="Y45" i="15" s="1"/>
  <c r="V69" i="15" l="1"/>
  <c r="W67" i="15"/>
  <c r="X64" i="15"/>
  <c r="X67" i="15" s="1"/>
  <c r="Y55" i="15"/>
  <c r="Y61" i="15" s="1"/>
  <c r="AA26" i="15"/>
  <c r="Z30" i="15"/>
  <c r="Z45" i="15" s="1"/>
  <c r="AE53" i="15"/>
  <c r="AE49" i="15"/>
  <c r="W69" i="15" l="1"/>
  <c r="X69" i="15" s="1"/>
  <c r="Y64" i="15"/>
  <c r="Y63" i="15"/>
  <c r="AA30" i="15"/>
  <c r="AA45" i="15" s="1"/>
  <c r="AB26" i="15"/>
  <c r="Z55" i="15" l="1"/>
  <c r="Z61" i="15" s="1"/>
  <c r="Y67" i="15"/>
  <c r="AC26" i="15"/>
  <c r="AB30" i="15"/>
  <c r="AB45" i="15" s="1"/>
  <c r="AA55" i="15"/>
  <c r="AA61" i="15" s="1"/>
  <c r="Y69" i="15" l="1"/>
  <c r="Z63" i="15"/>
  <c r="Z64" i="15"/>
  <c r="AB55" i="15"/>
  <c r="AB61" i="15" s="1"/>
  <c r="AB63" i="15" s="1"/>
  <c r="AA63" i="15"/>
  <c r="AA64" i="15"/>
  <c r="AD26" i="15"/>
  <c r="AD30" i="15" s="1"/>
  <c r="AD45" i="15" s="1"/>
  <c r="AC30" i="15"/>
  <c r="AC45" i="15" s="1"/>
  <c r="AA67" i="15" l="1"/>
  <c r="AD55" i="15"/>
  <c r="AD61" i="15" s="1"/>
  <c r="AB64" i="15"/>
  <c r="AB67" i="15" s="1"/>
  <c r="Z67" i="15"/>
  <c r="Z69" i="15" s="1"/>
  <c r="AE30" i="15"/>
  <c r="AE26" i="15"/>
  <c r="AA69" i="15" l="1"/>
  <c r="AB69" i="15" s="1"/>
  <c r="AE45" i="15"/>
  <c r="AD64" i="15"/>
  <c r="AD63" i="15"/>
  <c r="AC55" i="15"/>
  <c r="AD67" i="15" l="1"/>
  <c r="AE55" i="15"/>
  <c r="AC61" i="15"/>
  <c r="AE61" i="15" l="1"/>
  <c r="AC64" i="15"/>
  <c r="AE64" i="15" s="1"/>
  <c r="AC63" i="15"/>
  <c r="AE63" i="15" s="1"/>
  <c r="AC67" i="15" l="1"/>
  <c r="AC69" i="15" s="1"/>
  <c r="AD69" i="15" s="1"/>
  <c r="F78" i="15" s="1"/>
  <c r="AE67" i="15" l="1"/>
  <c r="F72" i="15" s="1"/>
  <c r="D23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magni</author>
  </authors>
  <commentList>
    <comment ref="A14" authorId="0" shapeId="0" xr:uid="{70E0A9A6-767B-48A6-84A2-CDC65BA82348}">
      <text>
        <r>
          <rPr>
            <b/>
            <sz val="9"/>
            <color indexed="81"/>
            <rFont val="Tahoma"/>
            <family val="2"/>
          </rPr>
          <t>magni:</t>
        </r>
        <r>
          <rPr>
            <sz val="9"/>
            <color indexed="81"/>
            <rFont val="Tahoma"/>
            <family val="2"/>
          </rPr>
          <t xml:space="preserve">
tasso di attualizzazione. Nel nostro foglio di calcolo è al 12%
</t>
        </r>
      </text>
    </comment>
  </commentList>
</comments>
</file>

<file path=xl/sharedStrings.xml><?xml version="1.0" encoding="utf-8"?>
<sst xmlns="http://schemas.openxmlformats.org/spreadsheetml/2006/main" count="500" uniqueCount="336">
  <si>
    <t>ηglobale</t>
  </si>
  <si>
    <t>ηrif</t>
  </si>
  <si>
    <t>PES</t>
  </si>
  <si>
    <t>perdite di rete</t>
  </si>
  <si>
    <t>Ceff</t>
  </si>
  <si>
    <t>Utenza in area pedemontana</t>
  </si>
  <si>
    <t>Volumetria
[m³]</t>
  </si>
  <si>
    <t>Potenza di picco
[MW]</t>
  </si>
  <si>
    <t>Potenza specifica
[W/m³]</t>
  </si>
  <si>
    <t>Ore
[h]</t>
  </si>
  <si>
    <t>Fabbisogno Utenza in area pedemontana</t>
  </si>
  <si>
    <t>Intervallo cumulata
[h]</t>
  </si>
  <si>
    <t>Energia erogata nell'intervallo
[MWh]</t>
  </si>
  <si>
    <t>Fabbisogno cumulato
[MWh]</t>
  </si>
  <si>
    <t>Tecnologia</t>
  </si>
  <si>
    <t>Cicli Rankine a fluido organico</t>
  </si>
  <si>
    <t>La tipologia impiantistica (tecnologia) definisce il rendimento globale di riferimento con cui confrontarsi (75% - 80%) per il rispetto dei requisiti CAR</t>
  </si>
  <si>
    <t>Tipo di combustibile</t>
  </si>
  <si>
    <t>CHPEn</t>
  </si>
  <si>
    <t xml:space="preserve">Altri tipi di biomassa solida compresi tutti i tipi di legno non inclusi in S4 e liquame nero e marrone.
</t>
  </si>
  <si>
    <t>CHPHn</t>
  </si>
  <si>
    <t>Fluido</t>
  </si>
  <si>
    <t>Acqua calda</t>
  </si>
  <si>
    <t>Il calcolo del rendimento di confronto per la produzione separata di energia elettrica e calore varia in funzione del tipo di combustibile</t>
  </si>
  <si>
    <r>
      <t>η</t>
    </r>
    <r>
      <rPr>
        <b/>
        <vertAlign val="subscript"/>
        <sz val="10"/>
        <color theme="1"/>
        <rFont val="Calibri Light"/>
        <family val="2"/>
        <scheme val="major"/>
      </rPr>
      <t>globale</t>
    </r>
  </si>
  <si>
    <r>
      <t>η</t>
    </r>
    <r>
      <rPr>
        <b/>
        <vertAlign val="subscript"/>
        <sz val="10"/>
        <color theme="1"/>
        <rFont val="Calibri Light"/>
        <family val="2"/>
        <scheme val="major"/>
      </rPr>
      <t>rif</t>
    </r>
  </si>
  <si>
    <t>&gt;</t>
  </si>
  <si>
    <r>
      <rPr>
        <b/>
        <i/>
        <sz val="10"/>
        <color theme="1"/>
        <rFont val="Calibri Light"/>
        <family val="2"/>
        <scheme val="major"/>
      </rPr>
      <t>REF Eη</t>
    </r>
    <r>
      <rPr>
        <sz val="10"/>
        <color theme="1"/>
        <rFont val="Calibri Light"/>
        <family val="2"/>
        <scheme val="major"/>
      </rPr>
      <t xml:space="preserve"> (η</t>
    </r>
    <r>
      <rPr>
        <vertAlign val="subscript"/>
        <sz val="10"/>
        <color theme="1"/>
        <rFont val="Calibri Light"/>
        <family val="2"/>
        <scheme val="major"/>
      </rPr>
      <t>el</t>
    </r>
    <r>
      <rPr>
        <sz val="10"/>
        <color theme="1"/>
        <rFont val="Calibri Light"/>
        <family val="2"/>
        <scheme val="major"/>
      </rPr>
      <t xml:space="preserve"> produzione separata di energia elettrica)*</t>
    </r>
  </si>
  <si>
    <r>
      <rPr>
        <b/>
        <i/>
        <sz val="10"/>
        <color theme="1"/>
        <rFont val="Calibri Light"/>
        <family val="2"/>
        <scheme val="major"/>
      </rPr>
      <t>REF Hη</t>
    </r>
    <r>
      <rPr>
        <sz val="10"/>
        <color theme="1"/>
        <rFont val="Calibri Light"/>
        <family val="2"/>
        <scheme val="major"/>
      </rPr>
      <t xml:space="preserve"> (η</t>
    </r>
    <r>
      <rPr>
        <vertAlign val="subscript"/>
        <sz val="10"/>
        <color theme="1"/>
        <rFont val="Calibri Light"/>
        <family val="2"/>
        <scheme val="major"/>
      </rPr>
      <t>th</t>
    </r>
    <r>
      <rPr>
        <sz val="10"/>
        <color theme="1"/>
        <rFont val="Calibri Light"/>
        <family val="2"/>
        <scheme val="major"/>
      </rPr>
      <t xml:space="preserve"> produzione separata di calore)</t>
    </r>
  </si>
  <si>
    <t>Valori di ηgl,rif</t>
  </si>
  <si>
    <t>Valori di rendimento di riferimento armonizzati per la produzione separata di energia elettrica</t>
  </si>
  <si>
    <t>Valori di rendimento di riferimento armonizzati per la produzione separata di calore</t>
  </si>
  <si>
    <t>Categoria</t>
  </si>
  <si>
    <t>Anno di costruzione</t>
  </si>
  <si>
    <t>Antecedente al 2016</t>
  </si>
  <si>
    <t>Dal 2016</t>
  </si>
  <si>
    <t>Turbina a vapore a contropressione</t>
  </si>
  <si>
    <t>Antecedente al 2012</t>
  </si>
  <si>
    <t>2012-2015</t>
  </si>
  <si>
    <t>Vapore (*)</t>
  </si>
  <si>
    <t>Utilizzo diretto dei gas di scarico (**)</t>
  </si>
  <si>
    <t>Turbina a gas con recupero di calore</t>
  </si>
  <si>
    <t>Solidi</t>
  </si>
  <si>
    <t>S1</t>
  </si>
  <si>
    <t>Carbon fossile compresa antracite, carbone bituminoso, carbone sub- bituminoso, coke, semicoke, coke di petrolio</t>
  </si>
  <si>
    <t>Motore a combustione interna</t>
  </si>
  <si>
    <t>S2</t>
  </si>
  <si>
    <t xml:space="preserve">Lignite, mattonelle di lignite, olio di scisto
</t>
  </si>
  <si>
    <t>Microturbine</t>
  </si>
  <si>
    <t>S3</t>
  </si>
  <si>
    <t>Torba, mattonelle di torba</t>
  </si>
  <si>
    <t>Motori Stirling</t>
  </si>
  <si>
    <t>S4</t>
  </si>
  <si>
    <t xml:space="preserve">Biomassa secca fra cui legna e altri tipi di biomassa solida compresi pellet e mattonelle di legno, trucioli di legno essiccati, scarti in legno puliti e asciutti, gusci e noccioli d'oliva e altri noccioli
</t>
  </si>
  <si>
    <t>Pile a combustibile</t>
  </si>
  <si>
    <t>S5</t>
  </si>
  <si>
    <t>Motori a vapore</t>
  </si>
  <si>
    <t>S6</t>
  </si>
  <si>
    <t>Rifiuti urbani e industriali (non rinnovabili) e rifiuti rinnovabili/biode­ gradabili</t>
  </si>
  <si>
    <t>Liquidi</t>
  </si>
  <si>
    <t>L7</t>
  </si>
  <si>
    <t>Olio combustibile pesante, gasolio, altri prodotti petroliferi</t>
  </si>
  <si>
    <t>Ogni altra tecnologia o combinazioni di tecnologie che non includono turbine a condensazione con estrazione di vapore</t>
  </si>
  <si>
    <t>L8</t>
  </si>
  <si>
    <t>Bioliquidi compresi biometanolo, bioetanolo, biobutanolo, biodiesel e altri bioliquidi</t>
  </si>
  <si>
    <t>Turbina a gas a ciclo combinato con recupero di calore</t>
  </si>
  <si>
    <t>L9</t>
  </si>
  <si>
    <t>Liquidi residui, compresi rifiuti biodegradabili e non rinnovabili (in­ clusi sego, grasso e trebbie)</t>
  </si>
  <si>
    <t>Turbina a condensazione con estrazione di vapore</t>
  </si>
  <si>
    <t>Gassosi</t>
  </si>
  <si>
    <t>G10</t>
  </si>
  <si>
    <t>Gas naturale, GPL, GNL e biometano</t>
  </si>
  <si>
    <t>Ogni altra tecnologia o combinazioni di tecnologie che includono turbine a condensazione con estrazione di vapore</t>
  </si>
  <si>
    <t>G11</t>
  </si>
  <si>
    <t>Gas di raffineria, idrogeno e gas di sintesi</t>
  </si>
  <si>
    <t>G12</t>
  </si>
  <si>
    <t>Biogas da digestione anaerobica, gas da impianti di trattamento di ac­ que reflue e gas di discarica</t>
  </si>
  <si>
    <t>G13</t>
  </si>
  <si>
    <t>Gas di cokeria, gas di altoforno, gas da estrazioni minerarie e altri gas di recupero (escluso il gas di raffineria)</t>
  </si>
  <si>
    <t>Altri</t>
  </si>
  <si>
    <t>O14</t>
  </si>
  <si>
    <t xml:space="preserve">Calore di scarto (compresi i gas di scarico ad alta temperatura e i pro­ dotti da reazioni chimiche esotermiche)
</t>
  </si>
  <si>
    <t>O15</t>
  </si>
  <si>
    <t>Energia nucleare</t>
  </si>
  <si>
    <t>O16</t>
  </si>
  <si>
    <t>Energia solare termica</t>
  </si>
  <si>
    <t>O17</t>
  </si>
  <si>
    <t>Energia geotermica</t>
  </si>
  <si>
    <t>O18</t>
  </si>
  <si>
    <t>Altri combustibili non menzionati</t>
  </si>
  <si>
    <t>Fattore di disponibilità</t>
  </si>
  <si>
    <t>ηglobale &gt; ηrif</t>
  </si>
  <si>
    <r>
      <rPr>
        <sz val="10"/>
        <color theme="1"/>
        <rFont val="Calibri"/>
        <family val="2"/>
      </rPr>
      <t>Ḟ</t>
    </r>
    <r>
      <rPr>
        <sz val="10"/>
        <color theme="1"/>
        <rFont val="Calibri Light"/>
        <family val="2"/>
        <scheme val="major"/>
      </rPr>
      <t xml:space="preserve"> [kW]</t>
    </r>
  </si>
  <si>
    <t>Pe [kW]</t>
  </si>
  <si>
    <t>E [MWh]</t>
  </si>
  <si>
    <t>Q [kW]</t>
  </si>
  <si>
    <t>H [MWh]</t>
  </si>
  <si>
    <r>
      <rPr>
        <sz val="10"/>
        <color theme="1"/>
        <rFont val="Calibri"/>
        <family val="2"/>
      </rPr>
      <t xml:space="preserve">F </t>
    </r>
    <r>
      <rPr>
        <sz val="10"/>
        <color theme="1"/>
        <rFont val="Calibri Light"/>
        <family val="2"/>
        <scheme val="major"/>
      </rPr>
      <t>[MWh]</t>
    </r>
  </si>
  <si>
    <t xml:space="preserve">REF Eη </t>
  </si>
  <si>
    <t xml:space="preserve">REF Hη </t>
  </si>
  <si>
    <t>CALCOLO REQUISITI CAR</t>
  </si>
  <si>
    <t>MACCHINA VIRTUALE</t>
  </si>
  <si>
    <r>
      <t>η</t>
    </r>
    <r>
      <rPr>
        <vertAlign val="subscript"/>
        <sz val="10"/>
        <color theme="1"/>
        <rFont val="Calibri"/>
        <family val="2"/>
        <scheme val="minor"/>
      </rPr>
      <t>el</t>
    </r>
    <r>
      <rPr>
        <sz val="10"/>
        <color theme="1"/>
        <rFont val="Calibri"/>
        <family val="2"/>
        <scheme val="minor"/>
      </rPr>
      <t xml:space="preserve"> (non CHP)</t>
    </r>
  </si>
  <si>
    <t>Dati di Esercizio (energia)</t>
  </si>
  <si>
    <t>Dati di Targa (potenza)</t>
  </si>
  <si>
    <t>Echp [MWh]</t>
  </si>
  <si>
    <t>Hchp [MWh]</t>
  </si>
  <si>
    <r>
      <rPr>
        <sz val="10"/>
        <color theme="1"/>
        <rFont val="Calibri"/>
        <family val="2"/>
      </rPr>
      <t xml:space="preserve">Fchp </t>
    </r>
    <r>
      <rPr>
        <sz val="10"/>
        <color theme="1"/>
        <rFont val="Calibri Light"/>
        <family val="2"/>
        <scheme val="major"/>
      </rPr>
      <t>[MWh]</t>
    </r>
  </si>
  <si>
    <t>UNITA' NON CHP</t>
  </si>
  <si>
    <t>Enonchp [MWh]</t>
  </si>
  <si>
    <r>
      <rPr>
        <sz val="10"/>
        <color theme="1"/>
        <rFont val="Calibri"/>
        <family val="2"/>
      </rPr>
      <t xml:space="preserve">Fnonchp </t>
    </r>
    <r>
      <rPr>
        <sz val="10"/>
        <color theme="1"/>
        <rFont val="Calibri Light"/>
        <family val="2"/>
        <scheme val="major"/>
      </rPr>
      <t>[MWh]</t>
    </r>
  </si>
  <si>
    <t>UNITA' CHP</t>
  </si>
  <si>
    <t>ORC NOMINALE</t>
  </si>
  <si>
    <t>Carico Nominale
[MW]</t>
  </si>
  <si>
    <t>UTENZA TERMICA</t>
  </si>
  <si>
    <t>COPERTURA FABBISOGNO</t>
  </si>
  <si>
    <t>INIZIO DISSIPAZIONE</t>
  </si>
  <si>
    <t>Ora [h]</t>
  </si>
  <si>
    <t>Pth [MW]</t>
  </si>
  <si>
    <t>CAR</t>
  </si>
  <si>
    <t>% fabbisogno termico soddisfatto</t>
  </si>
  <si>
    <t>%</t>
  </si>
  <si>
    <t>_</t>
  </si>
  <si>
    <t>ore</t>
  </si>
  <si>
    <t>potenza [Mw]</t>
  </si>
  <si>
    <t>energia</t>
  </si>
  <si>
    <t>th</t>
  </si>
  <si>
    <t>el</t>
  </si>
  <si>
    <t>tot</t>
  </si>
  <si>
    <t>gradi giorno</t>
  </si>
  <si>
    <t>popolazione</t>
  </si>
  <si>
    <t>Consumi energetici mediati per comune di CHIOMONTE</t>
  </si>
  <si>
    <t>Consumi energetici mediati per capoluogo di CHIOMONTE</t>
  </si>
  <si>
    <t xml:space="preserve">abitazioni stimate </t>
  </si>
  <si>
    <t>superficie stimata per abitazione</t>
  </si>
  <si>
    <t>altezza soffitti</t>
  </si>
  <si>
    <t>volume previsto [m^3]</t>
  </si>
  <si>
    <t>potenza media [W/m^2]</t>
  </si>
  <si>
    <t>altitudine</t>
  </si>
  <si>
    <t>LUSERNA SAN GIOVANNI</t>
  </si>
  <si>
    <t>Mesi</t>
  </si>
  <si>
    <t>Stagioni</t>
  </si>
  <si>
    <t>Anno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</si>
  <si>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</si>
  <si>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</si>
  <si>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</si>
  <si>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</si>
  <si>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</si>
  <si>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</si>
  <si>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</si>
  <si>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</si>
  <si>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</si>
  <si>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</si>
  <si>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</si>
  <si>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</si>
  <si>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Inv</t>
  </si>
  <si>
    <t>Pri</t>
  </si>
  <si>
    <t>Est</t>
  </si>
  <si>
    <t>Aut</t>
  </si>
  <si>
    <r>
      <t>T. max. media</t>
    </r>
    <r>
      <rPr>
        <b/>
        <sz val="8"/>
        <color rgb="FF202122"/>
        <rFont val="Arial"/>
        <family val="2"/>
      </rPr>
      <t> (°</t>
    </r>
    <r>
      <rPr>
        <b/>
        <sz val="8"/>
        <color rgb="FF0645AD"/>
        <rFont val="Arial"/>
        <family val="2"/>
      </rPr>
      <t>C</t>
    </r>
    <r>
      <rPr>
        <b/>
        <sz val="8"/>
        <color rgb="FF202122"/>
        <rFont val="Arial"/>
        <family val="2"/>
      </rPr>
      <t>)</t>
    </r>
  </si>
  <si>
    <r>
      <t>T. min. media</t>
    </r>
    <r>
      <rPr>
        <b/>
        <sz val="8"/>
        <color rgb="FF202122"/>
        <rFont val="Arial"/>
        <family val="2"/>
      </rPr>
      <t> (°</t>
    </r>
    <r>
      <rPr>
        <b/>
        <sz val="8"/>
        <color rgb="FF0645AD"/>
        <rFont val="Arial"/>
        <family val="2"/>
      </rPr>
      <t>C</t>
    </r>
    <r>
      <rPr>
        <b/>
        <sz val="8"/>
        <color rgb="FF202122"/>
        <rFont val="Arial"/>
        <family val="2"/>
      </rPr>
      <t>)</t>
    </r>
  </si>
  <si>
    <t>OULX</t>
  </si>
  <si>
    <t>CHIOMONTE</t>
  </si>
  <si>
    <t>T med.</t>
  </si>
  <si>
    <t>salto temp normalizzato</t>
  </si>
  <si>
    <t>zoccolo ACS</t>
  </si>
  <si>
    <t>Mw</t>
  </si>
  <si>
    <r>
      <t>η</t>
    </r>
    <r>
      <rPr>
        <b/>
        <vertAlign val="subscript"/>
        <sz val="10"/>
        <color theme="1"/>
        <rFont val="Calibri Light"/>
        <family val="2"/>
        <scheme val="major"/>
      </rPr>
      <t>tot</t>
    </r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</si>
  <si>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</si>
  <si>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</si>
  <si>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</si>
  <si>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</si>
  <si>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</si>
  <si>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</si>
  <si>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</si>
  <si>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</si>
  <si>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</si>
  <si>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</si>
  <si>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</si>
  <si>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</si>
  <si>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ELETTRICA</t>
  </si>
  <si>
    <t>energia media [Kwh/m^2]</t>
  </si>
  <si>
    <t>test</t>
  </si>
  <si>
    <t>Perdite di rete 15%</t>
  </si>
  <si>
    <t>Calore all'utenza termica</t>
  </si>
  <si>
    <t>Hf [MWh]</t>
  </si>
  <si>
    <t>PIENO REGIME th</t>
  </si>
  <si>
    <t>PIENO REGIME el</t>
  </si>
  <si>
    <r>
      <t>η</t>
    </r>
    <r>
      <rPr>
        <vertAlign val="subscript"/>
        <sz val="10"/>
        <color theme="1"/>
        <rFont val="Calibri"/>
        <family val="2"/>
        <scheme val="minor"/>
      </rPr>
      <t>el</t>
    </r>
    <r>
      <rPr>
        <sz val="10"/>
        <color theme="1"/>
        <rFont val="Calibri"/>
        <family val="2"/>
        <scheme val="minor"/>
      </rPr>
      <t xml:space="preserve"> pot</t>
    </r>
  </si>
  <si>
    <r>
      <t>η</t>
    </r>
    <r>
      <rPr>
        <vertAlign val="subscript"/>
        <sz val="10"/>
        <color theme="1"/>
        <rFont val="Calibri"/>
        <family val="2"/>
      </rPr>
      <t>th</t>
    </r>
    <r>
      <rPr>
        <sz val="10"/>
        <color theme="1"/>
        <rFont val="Calibri"/>
        <family val="2"/>
      </rPr>
      <t xml:space="preserve"> pot</t>
    </r>
  </si>
  <si>
    <t>modello</t>
  </si>
  <si>
    <t>312 C202</t>
  </si>
  <si>
    <t>costo manutenzione [Euro/Kwhel]</t>
  </si>
  <si>
    <t>energia th [kwh/y]</t>
  </si>
  <si>
    <t>energia el [kwh/y]</t>
  </si>
  <si>
    <t>potenza el [kw]</t>
  </si>
  <si>
    <t>costo conduzione [Euro/anno]</t>
  </si>
  <si>
    <t>1 cogen</t>
  </si>
  <si>
    <t>potenza termica</t>
  </si>
  <si>
    <t>costo assicurazione [Euro/anno]</t>
  </si>
  <si>
    <t>2 cogen</t>
  </si>
  <si>
    <t>rendimento el</t>
  </si>
  <si>
    <t>rendimento term</t>
  </si>
  <si>
    <t>rendimento tot</t>
  </si>
  <si>
    <t>potenza introdotta</t>
  </si>
  <si>
    <t>Potere calorifico</t>
  </si>
  <si>
    <t>rend elettrico</t>
  </si>
  <si>
    <t xml:space="preserve">rend termico </t>
  </si>
  <si>
    <t xml:space="preserve">rendimento tot </t>
  </si>
  <si>
    <t>rapporto cogenerazione</t>
  </si>
  <si>
    <t>indice elettrico</t>
  </si>
  <si>
    <t>consumo specifico combu</t>
  </si>
  <si>
    <t>COEFFICIENTI PES</t>
  </si>
  <si>
    <t>rend el separato</t>
  </si>
  <si>
    <t>rend th separato</t>
  </si>
  <si>
    <t>1° cogen</t>
  </si>
  <si>
    <t>2° cogen</t>
  </si>
  <si>
    <t>portata cippato [t/h]</t>
  </si>
  <si>
    <t>CALCOLO costi orari</t>
  </si>
  <si>
    <t>prezzo cippato [Euro/t]</t>
  </si>
  <si>
    <t>COSTO combustibile [Euro/h]</t>
  </si>
  <si>
    <t>COSTO manutenzione [Euro/h]</t>
  </si>
  <si>
    <t>COSTO conduzione [Euro/h]</t>
  </si>
  <si>
    <t>COSTO assicurazione [Euro/h]</t>
  </si>
  <si>
    <t>COSTO TOTALE NETTO</t>
  </si>
  <si>
    <t>COSTO NETTO SPEC</t>
  </si>
  <si>
    <t>CALCOLO TEE</t>
  </si>
  <si>
    <t>Energia alimentata</t>
  </si>
  <si>
    <t>risparmio energetico [Mwh/y]</t>
  </si>
  <si>
    <t>coefficiente [TEP/Mwht]</t>
  </si>
  <si>
    <t>coefficiente K</t>
  </si>
  <si>
    <t>TEE</t>
  </si>
  <si>
    <t>valore 1 TEE</t>
  </si>
  <si>
    <t>valore tot TEE</t>
  </si>
  <si>
    <t xml:space="preserve">consumo annuo cippato tot [t/y] </t>
  </si>
  <si>
    <t>Rata</t>
  </si>
  <si>
    <t>€</t>
  </si>
  <si>
    <t>autocons.</t>
  </si>
  <si>
    <t>Degradation</t>
  </si>
  <si>
    <t>risparmio</t>
  </si>
  <si>
    <t>€/kWh</t>
  </si>
  <si>
    <t>Inflation</t>
  </si>
  <si>
    <t>Turn key + autorization (€)</t>
  </si>
  <si>
    <t>Tariffa energia</t>
  </si>
  <si>
    <t>Total Investment (€)</t>
  </si>
  <si>
    <t>IRES</t>
  </si>
  <si>
    <t>IRAP</t>
  </si>
  <si>
    <t>Equity  (outflow) (€)</t>
  </si>
  <si>
    <t>IMU</t>
  </si>
  <si>
    <t>Refinancing Base Euribor 3 months</t>
  </si>
  <si>
    <t>www.euribor.it/</t>
  </si>
  <si>
    <t>Spread</t>
  </si>
  <si>
    <t>Interest Rate</t>
  </si>
  <si>
    <t>WACC</t>
  </si>
  <si>
    <t>Duration (m) calcolo</t>
  </si>
  <si>
    <t>mesi</t>
  </si>
  <si>
    <t>anni</t>
  </si>
  <si>
    <t>Duration</t>
  </si>
  <si>
    <t>PIANO ECONOMICO FINANZIARIO</t>
  </si>
  <si>
    <t>Anni</t>
  </si>
  <si>
    <t>TOTALE</t>
  </si>
  <si>
    <t>Generazione Elettrica</t>
  </si>
  <si>
    <t>kWh</t>
  </si>
  <si>
    <t>Previsione PUN</t>
  </si>
  <si>
    <t>Ricavo da Tariffa Incentivante</t>
  </si>
  <si>
    <t>Inflazione</t>
  </si>
  <si>
    <t>Fattore d'Inflazione</t>
  </si>
  <si>
    <t>Ricavi totali (Erning)</t>
  </si>
  <si>
    <t>O&amp;M e assicurazione</t>
  </si>
  <si>
    <t>Costi Totali</t>
  </si>
  <si>
    <t>Flussi di Cassa Operativi (EBITDA - margine operativo lordo)</t>
  </si>
  <si>
    <t xml:space="preserve">Rata (ipotesi) </t>
  </si>
  <si>
    <t xml:space="preserve">Ammortamento </t>
  </si>
  <si>
    <t>Riscatto</t>
  </si>
  <si>
    <t>Profitti ante imposte (EBIT)</t>
  </si>
  <si>
    <t>Ires (Imposta Redditi Societari)</t>
  </si>
  <si>
    <t>Irap (Imposta Regionale Attività Produttive)</t>
  </si>
  <si>
    <t>Net Cash Flow</t>
  </si>
  <si>
    <t>Cash Flow Cumulativo</t>
  </si>
  <si>
    <t>ROI 1° anno</t>
  </si>
  <si>
    <t>ROE 1° anno</t>
  </si>
  <si>
    <t>Tempo Ritorno Investimento (anni)</t>
  </si>
  <si>
    <t>VAN: valore dei flussi di cassa attesi attualizzati mediante un dato tasso di rendimento</t>
  </si>
  <si>
    <t>TIR: tasso di ritorno effettivo generato da un investimento. In generale un progetto viene perseguito quando il TIR risulta essere maggiore del costo del capitale per quell'investimento</t>
  </si>
  <si>
    <t>ROI: indice di redditività del capitale investito. Calcolato come rapporto tra risultato operativo e capitale investito netto.</t>
  </si>
  <si>
    <t>ROE: è l'indicatore del grado di remunerazione del rischio affrontato dall'imprenditore e dai soci. Calcolato come rapporto tra utile netto e patrimonio netto</t>
  </si>
  <si>
    <t>Power (kWth)</t>
  </si>
  <si>
    <t>Power (kWel)</t>
  </si>
  <si>
    <t>kW</t>
  </si>
  <si>
    <t>Generazione termica</t>
  </si>
  <si>
    <t>Previsione vendita calore</t>
  </si>
  <si>
    <t>Ricavo</t>
  </si>
  <si>
    <t>Titoli TEE</t>
  </si>
  <si>
    <t>Energia termica prodotta [Mwh/y]</t>
  </si>
  <si>
    <t>Energia elettrica [Mwh/y]</t>
  </si>
  <si>
    <t>Manutenzione</t>
  </si>
  <si>
    <t>Conduzione</t>
  </si>
  <si>
    <t xml:space="preserve">Cash flow cumulato (25 anni) </t>
  </si>
  <si>
    <t>Combustibile</t>
  </si>
  <si>
    <t>Credito d'imposta</t>
  </si>
  <si>
    <t>Credito  d'imposta iniziale</t>
  </si>
  <si>
    <t>Palanzano</t>
  </si>
  <si>
    <t>Parma</t>
  </si>
  <si>
    <t>PR</t>
  </si>
  <si>
    <t>Corniglio</t>
  </si>
  <si>
    <t>Bore</t>
  </si>
  <si>
    <t>E men [Mwh/m]</t>
  </si>
  <si>
    <t>P med[Kw]</t>
  </si>
  <si>
    <t>T. max. media (°C)</t>
  </si>
  <si>
    <t>T. min. media (°C)</t>
  </si>
  <si>
    <t>temp media esterna [°C]</t>
  </si>
  <si>
    <t>temp di equilibrio [°C]</t>
  </si>
  <si>
    <t>salto di temp positivo [°C]</t>
  </si>
  <si>
    <t>Potenza term norm</t>
  </si>
  <si>
    <t>Ore</t>
  </si>
  <si>
    <t>costo impianto specifico [Euro/kwel]</t>
  </si>
  <si>
    <t>potenza [Kw]</t>
  </si>
  <si>
    <t>costo tot [euro]</t>
  </si>
  <si>
    <t>costo spec [euro/Kw]</t>
  </si>
  <si>
    <t>Legna in pezzi</t>
  </si>
  <si>
    <t>GPL</t>
  </si>
  <si>
    <t>Gasolio</t>
  </si>
  <si>
    <t>Pellet</t>
  </si>
  <si>
    <t>Chiomonte cippato</t>
  </si>
  <si>
    <t>Frais cippato</t>
  </si>
  <si>
    <t>Energia termica richiesta</t>
  </si>
  <si>
    <t>Energia termica prodotta</t>
  </si>
  <si>
    <t>Totale</t>
  </si>
  <si>
    <t>Consumi energetici comune di Sestola [MWh]</t>
  </si>
  <si>
    <t>E normalizzata</t>
  </si>
  <si>
    <t>Energia term [MWh]</t>
  </si>
  <si>
    <t>Potenza term [MW]</t>
  </si>
  <si>
    <t>Corsto [€/MWhth]</t>
  </si>
  <si>
    <t>[MWh]</t>
  </si>
  <si>
    <t>E men [MWh/m]</t>
  </si>
  <si>
    <t>P med[kW]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</si>
</sst>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#,##0.00\ &quot;€&quot;;[Red]\-#,##0.00\ &quot;€&quot;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0.0%"/>
    <numFmt numFmtId="167" formatCode="_-* #,##0.0_-;\-* #,##0.0_-;_-* &quot;-&quot;?_-;_-@_-"/>
    <numFmt numFmtId="168" formatCode="_-* #,##0_-;\-* #,##0_-;_-* &quot;-&quot;?_-;_-@_-"/>
    <numFmt numFmtId="169" formatCode="_-* #,##0.0_-;\-* #,##0.0_-;_-* &quot;-&quot;??_-;_-@_-"/>
    <numFmt numFmtId="170" formatCode="_-* #,##0.00_-;\-* #,##0.00_-;_-* &quot;-&quot;?_-;_-@_-"/>
    <numFmt numFmtId="171" formatCode="#,##0\ [$€-410];[Red]\-#,##0\ [$€-410]"/>
    <numFmt numFmtId="172" formatCode="_-* #,##0.000_-;\-* #,##0.000_-;_-* &quot;-&quot;?_-;_-@_-"/>
    <numFmt numFmtId="173" formatCode="_-* #,##0.00\ _€_-;\-* #,##0.00\ _€_-;_-* &quot;-&quot;??\ _€_-;_-@_-"/>
    <numFmt numFmtId="174" formatCode="0.0"/>
    <numFmt numFmtId="175" formatCode="0.000"/>
    <numFmt numFmtId="176" formatCode="#,##0_%_);\(#,##0\)_%;#,##0_%_);@_%_)"/>
    <numFmt numFmtId="177" formatCode="#,##0.000_%_);\(#,##0.000\)_%;#,##0.000_%_);@_%_)"/>
    <numFmt numFmtId="178" formatCode="#,##0.00_%_);\(#,##0.00\)_%;#,##0.00_%_);@_%_)"/>
    <numFmt numFmtId="179" formatCode="&quot;€&quot;\ #,##0.00;[Red]\-&quot;€&quot;\ #,##0.00"/>
    <numFmt numFmtId="180" formatCode="_-&quot;€&quot;\ * #,##0_-;\-&quot;€&quot;\ * #,##0_-;_-&quot;€&quot;\ * &quot;-&quot;??_-;_-@_-"/>
    <numFmt numFmtId="181" formatCode="#,##0.000000000"/>
  </numFmts>
  <fonts count="6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 (Corpo)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rgb="FFFF0000"/>
      <name val="Calibri"/>
      <family val="2"/>
      <scheme val="minor"/>
    </font>
    <font>
      <b/>
      <sz val="18"/>
      <color theme="1"/>
      <name val="Calibri Light"/>
      <family val="2"/>
      <scheme val="major"/>
    </font>
    <font>
      <b/>
      <sz val="18"/>
      <color theme="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vertAlign val="subscript"/>
      <sz val="10"/>
      <color theme="1"/>
      <name val="Calibri Light"/>
      <family val="2"/>
      <scheme val="major"/>
    </font>
    <font>
      <b/>
      <sz val="10"/>
      <color theme="4"/>
      <name val="Calibri Light"/>
      <family val="2"/>
      <scheme val="major"/>
    </font>
    <font>
      <b/>
      <i/>
      <sz val="10"/>
      <color theme="1"/>
      <name val="Calibri Light"/>
      <family val="2"/>
      <scheme val="major"/>
    </font>
    <font>
      <vertAlign val="subscript"/>
      <sz val="10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9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bscript"/>
      <sz val="10"/>
      <color theme="1"/>
      <name val="Calibri"/>
      <family val="2"/>
    </font>
    <font>
      <b/>
      <sz val="10"/>
      <name val="Calibri Light"/>
      <family val="2"/>
      <scheme val="major"/>
    </font>
    <font>
      <vertAlign val="subscript"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6"/>
      <color theme="0"/>
      <name val="Calibri Light"/>
      <family val="2"/>
      <scheme val="major"/>
    </font>
    <font>
      <b/>
      <sz val="18"/>
      <color theme="0"/>
      <name val="Calibri"/>
      <family val="2"/>
      <scheme val="minor"/>
    </font>
    <font>
      <b/>
      <sz val="12"/>
      <color theme="0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8"/>
      <color rgb="FF202122"/>
      <name val="Arial"/>
      <family val="2"/>
    </font>
    <font>
      <b/>
      <sz val="8"/>
      <color rgb="FF0645AD"/>
      <name val="Arial"/>
      <family val="2"/>
    </font>
    <font>
      <sz val="8"/>
      <color rgb="FF202122"/>
      <name val="Arial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b/>
      <sz val="11"/>
      <name val="Calibri"/>
      <family val="2"/>
    </font>
    <font>
      <i/>
      <sz val="12"/>
      <name val="Calibri"/>
      <family val="2"/>
    </font>
    <font>
      <i/>
      <sz val="11"/>
      <name val="Calibri"/>
      <family val="2"/>
    </font>
    <font>
      <u/>
      <sz val="11"/>
      <name val="Calibri"/>
      <family val="2"/>
    </font>
    <font>
      <i/>
      <sz val="13"/>
      <name val="Calibri"/>
      <family val="2"/>
    </font>
    <font>
      <b/>
      <sz val="12"/>
      <color indexed="9"/>
      <name val="Calibri"/>
      <family val="2"/>
    </font>
    <font>
      <sz val="12"/>
      <color indexed="9"/>
      <name val="Calibri"/>
      <family val="2"/>
    </font>
    <font>
      <sz val="12"/>
      <name val="Calibri"/>
      <family val="2"/>
    </font>
    <font>
      <b/>
      <sz val="11"/>
      <color indexed="10"/>
      <name val="Calibri"/>
      <family val="2"/>
    </font>
    <font>
      <sz val="11"/>
      <name val="Segoe UI Light"/>
      <family val="2"/>
    </font>
    <font>
      <b/>
      <sz val="12"/>
      <name val="Calibri"/>
      <family val="2"/>
    </font>
    <font>
      <b/>
      <sz val="12"/>
      <color indexed="9"/>
      <name val="Calibri Light"/>
      <family val="2"/>
    </font>
    <font>
      <sz val="12"/>
      <color indexed="9"/>
      <name val="Calibri Light"/>
      <family val="2"/>
    </font>
    <font>
      <b/>
      <sz val="12"/>
      <name val="Calibri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rgb="FF202122"/>
      <name val="Calibri Light"/>
      <family val="2"/>
      <scheme val="major"/>
    </font>
  </fonts>
  <fills count="5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EAECF0"/>
        <bgColor indexed="64"/>
      </patternFill>
    </fill>
    <fill>
      <patternFill patternType="solid">
        <fgColor rgb="FFDFDFFF"/>
        <bgColor indexed="64"/>
      </patternFill>
    </fill>
    <fill>
      <patternFill patternType="solid">
        <fgColor rgb="FFE6E6F6"/>
        <bgColor indexed="64"/>
      </patternFill>
    </fill>
    <fill>
      <patternFill patternType="solid">
        <fgColor rgb="FFEAEAC2"/>
        <bgColor indexed="64"/>
      </patternFill>
    </fill>
    <fill>
      <patternFill patternType="solid">
        <fgColor rgb="FFEDED96"/>
        <bgColor indexed="64"/>
      </patternFill>
    </fill>
    <fill>
      <patternFill patternType="solid">
        <fgColor rgb="FFF1F162"/>
        <bgColor indexed="64"/>
      </patternFill>
    </fill>
    <fill>
      <patternFill patternType="solid">
        <fgColor rgb="FFF3DB50"/>
        <bgColor indexed="64"/>
      </patternFill>
    </fill>
    <fill>
      <patternFill patternType="solid">
        <fgColor rgb="FFF5BA42"/>
        <bgColor indexed="64"/>
      </patternFill>
    </fill>
    <fill>
      <patternFill patternType="solid">
        <fgColor rgb="FFF4D04B"/>
        <bgColor indexed="64"/>
      </patternFill>
    </fill>
    <fill>
      <patternFill patternType="solid">
        <fgColor rgb="FFECEC9F"/>
        <bgColor indexed="64"/>
      </patternFill>
    </fill>
    <fill>
      <patternFill patternType="solid">
        <fgColor rgb="FFE9E9D3"/>
        <bgColor indexed="64"/>
      </patternFill>
    </fill>
    <fill>
      <patternFill patternType="solid">
        <fgColor rgb="FFF4C547"/>
        <bgColor indexed="64"/>
      </patternFill>
    </fill>
    <fill>
      <patternFill patternType="solid">
        <fgColor rgb="FFBDBDFF"/>
        <bgColor indexed="64"/>
      </patternFill>
    </fill>
    <fill>
      <patternFill patternType="solid">
        <fgColor rgb="FFC2C2FF"/>
        <bgColor indexed="64"/>
      </patternFill>
    </fill>
    <fill>
      <patternFill patternType="solid">
        <fgColor rgb="FFD9D9FF"/>
        <bgColor indexed="64"/>
      </patternFill>
    </fill>
    <fill>
      <patternFill patternType="solid">
        <fgColor rgb="FFE7E7E4"/>
        <bgColor indexed="64"/>
      </patternFill>
    </fill>
    <fill>
      <patternFill patternType="solid">
        <fgColor rgb="FFE9E9CA"/>
        <bgColor indexed="64"/>
      </patternFill>
    </fill>
    <fill>
      <patternFill patternType="solid">
        <fgColor rgb="FFEEEE8E"/>
        <bgColor indexed="64"/>
      </patternFill>
    </fill>
    <fill>
      <patternFill patternType="solid">
        <fgColor rgb="FFEBEBB0"/>
        <bgColor indexed="64"/>
      </patternFill>
    </fill>
    <fill>
      <patternFill patternType="solid">
        <fgColor rgb="FFE8E8DC"/>
        <bgColor indexed="64"/>
      </patternFill>
    </fill>
    <fill>
      <patternFill patternType="solid">
        <fgColor rgb="FFCDCDFF"/>
        <bgColor indexed="64"/>
      </patternFill>
    </fill>
    <fill>
      <patternFill patternType="solid">
        <fgColor rgb="FFE7E7ED"/>
        <bgColor indexed="64"/>
      </patternFill>
    </fill>
    <fill>
      <patternFill patternType="solid">
        <fgColor rgb="FFECECA8"/>
        <bgColor indexed="64"/>
      </patternFill>
    </fill>
    <fill>
      <patternFill patternType="solid">
        <fgColor rgb="FFEFEF7C"/>
        <bgColor indexed="64"/>
      </patternFill>
    </fill>
    <fill>
      <patternFill patternType="solid">
        <fgColor rgb="FFF2E655"/>
        <bgColor indexed="64"/>
      </patternFill>
    </fill>
    <fill>
      <patternFill patternType="solid">
        <fgColor rgb="FFF0F06B"/>
        <bgColor indexed="64"/>
      </patternFill>
    </fill>
    <fill>
      <patternFill patternType="solid">
        <fgColor rgb="FFACACFF"/>
        <bgColor indexed="64"/>
      </patternFill>
    </fill>
    <fill>
      <patternFill patternType="solid">
        <fgColor rgb="FFB1B1FF"/>
        <bgColor indexed="64"/>
      </patternFill>
    </fill>
    <fill>
      <patternFill patternType="solid">
        <fgColor rgb="FFC8C8FF"/>
        <bgColor indexed="64"/>
      </patternFill>
    </fill>
    <fill>
      <patternFill patternType="solid">
        <fgColor rgb="FFB7B7FF"/>
        <bgColor indexed="64"/>
      </patternFill>
    </fill>
    <fill>
      <patternFill patternType="solid">
        <fgColor rgb="FFE6E6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/>
      <top/>
      <bottom/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/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/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/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 style="medium">
        <color theme="4"/>
      </left>
      <right style="mediumDashed">
        <color indexed="64"/>
      </right>
      <top/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/>
      <bottom/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Dashed">
        <color indexed="64"/>
      </right>
      <top/>
      <bottom style="medium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A2A9B1"/>
      </right>
      <top style="medium">
        <color indexed="64"/>
      </top>
      <bottom/>
      <diagonal/>
    </border>
    <border>
      <left style="medium">
        <color rgb="FFA2A9B1"/>
      </left>
      <right/>
      <top style="medium">
        <color indexed="64"/>
      </top>
      <bottom style="medium">
        <color rgb="FFA2A9B1"/>
      </bottom>
      <diagonal/>
    </border>
    <border>
      <left/>
      <right/>
      <top style="medium">
        <color indexed="64"/>
      </top>
      <bottom style="medium">
        <color rgb="FFA2A9B1"/>
      </bottom>
      <diagonal/>
    </border>
    <border>
      <left/>
      <right style="medium">
        <color rgb="FFA2A9B1"/>
      </right>
      <top style="medium">
        <color indexed="64"/>
      </top>
      <bottom style="medium">
        <color rgb="FFA2A9B1"/>
      </bottom>
      <diagonal/>
    </border>
    <border>
      <left style="medium">
        <color rgb="FFA2A9B1"/>
      </left>
      <right style="medium">
        <color rgb="FFA2A9B1"/>
      </right>
      <top style="medium">
        <color indexed="64"/>
      </top>
      <bottom/>
      <diagonal/>
    </border>
    <border>
      <left style="medium">
        <color indexed="64"/>
      </left>
      <right style="medium">
        <color rgb="FFA2A9B1"/>
      </right>
      <top/>
      <bottom style="medium">
        <color rgb="FFA2A9B1"/>
      </bottom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 style="medium">
        <color rgb="FFA2A9B1"/>
      </left>
      <right style="medium">
        <color rgb="FFA2A9B1"/>
      </right>
      <top/>
      <bottom style="medium">
        <color rgb="FFA2A9B1"/>
      </bottom>
      <diagonal/>
    </border>
    <border>
      <left style="medium">
        <color indexed="64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 style="medium">
        <color indexed="64"/>
      </left>
      <right style="medium">
        <color rgb="FFA2A9B1"/>
      </right>
      <top style="medium">
        <color rgb="FFA2A9B1"/>
      </top>
      <bottom style="medium">
        <color indexed="64"/>
      </bottom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582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5" fontId="2" fillId="0" borderId="0" xfId="0" applyNumberFormat="1" applyFont="1"/>
    <xf numFmtId="43" fontId="2" fillId="0" borderId="0" xfId="0" applyNumberFormat="1" applyFont="1"/>
    <xf numFmtId="0" fontId="2" fillId="0" borderId="0" xfId="0" applyFont="1" applyBorder="1"/>
    <xf numFmtId="165" fontId="2" fillId="0" borderId="0" xfId="1" applyNumberFormat="1" applyFont="1" applyBorder="1"/>
    <xf numFmtId="0" fontId="2" fillId="0" borderId="0" xfId="0" applyFont="1" applyAlignment="1">
      <alignment vertical="center"/>
    </xf>
    <xf numFmtId="0" fontId="8" fillId="0" borderId="5" xfId="0" applyFont="1" applyBorder="1"/>
    <xf numFmtId="169" fontId="11" fillId="4" borderId="0" xfId="1" applyNumberFormat="1" applyFont="1" applyFill="1" applyBorder="1" applyAlignment="1">
      <alignment horizontal="center" vertical="center"/>
    </xf>
    <xf numFmtId="0" fontId="8" fillId="0" borderId="7" xfId="0" applyFont="1" applyBorder="1"/>
    <xf numFmtId="166" fontId="17" fillId="0" borderId="9" xfId="2" applyNumberFormat="1" applyFont="1" applyBorder="1" applyAlignment="1">
      <alignment horizontal="center" vertical="center"/>
    </xf>
    <xf numFmtId="9" fontId="17" fillId="0" borderId="0" xfId="2" applyFont="1" applyBorder="1"/>
    <xf numFmtId="0" fontId="8" fillId="0" borderId="7" xfId="0" applyFont="1" applyBorder="1" applyAlignment="1">
      <alignment horizontal="center" vertical="center"/>
    </xf>
    <xf numFmtId="0" fontId="21" fillId="0" borderId="0" xfId="0" applyFont="1"/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9" fontId="21" fillId="0" borderId="14" xfId="2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center" vertical="top" wrapText="1"/>
    </xf>
    <xf numFmtId="0" fontId="25" fillId="0" borderId="18" xfId="0" applyFont="1" applyBorder="1" applyAlignment="1">
      <alignment vertical="top" wrapText="1"/>
    </xf>
    <xf numFmtId="166" fontId="21" fillId="0" borderId="12" xfId="2" applyNumberFormat="1" applyFont="1" applyBorder="1" applyAlignment="1">
      <alignment horizontal="right" vertical="center" wrapText="1"/>
    </xf>
    <xf numFmtId="166" fontId="21" fillId="0" borderId="11" xfId="2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top" wrapText="1"/>
    </xf>
    <xf numFmtId="166" fontId="26" fillId="0" borderId="12" xfId="2" applyNumberFormat="1" applyFont="1" applyBorder="1" applyAlignment="1">
      <alignment horizontal="right" vertical="center" wrapText="1"/>
    </xf>
    <xf numFmtId="166" fontId="26" fillId="0" borderId="11" xfId="2" applyNumberFormat="1" applyFont="1" applyBorder="1" applyAlignment="1">
      <alignment horizontal="right" vertical="center" wrapText="1"/>
    </xf>
    <xf numFmtId="0" fontId="25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vertical="top" wrapText="1"/>
    </xf>
    <xf numFmtId="166" fontId="21" fillId="0" borderId="19" xfId="2" applyNumberFormat="1" applyFont="1" applyBorder="1" applyAlignment="1">
      <alignment horizontal="right" vertical="center" wrapText="1"/>
    </xf>
    <xf numFmtId="166" fontId="21" fillId="0" borderId="14" xfId="2" applyNumberFormat="1" applyFont="1" applyBorder="1" applyAlignment="1">
      <alignment horizontal="right" vertical="center" wrapText="1"/>
    </xf>
    <xf numFmtId="0" fontId="21" fillId="0" borderId="19" xfId="0" applyFont="1" applyBorder="1" applyAlignment="1">
      <alignment vertical="top" wrapText="1"/>
    </xf>
    <xf numFmtId="166" fontId="26" fillId="0" borderId="19" xfId="2" applyNumberFormat="1" applyFont="1" applyBorder="1" applyAlignment="1">
      <alignment horizontal="right" vertical="center" wrapText="1"/>
    </xf>
    <xf numFmtId="166" fontId="26" fillId="0" borderId="14" xfId="2" applyNumberFormat="1" applyFont="1" applyBorder="1" applyAlignment="1">
      <alignment horizontal="right" vertical="center" wrapText="1"/>
    </xf>
    <xf numFmtId="0" fontId="21" fillId="0" borderId="20" xfId="0" applyFont="1" applyBorder="1"/>
    <xf numFmtId="0" fontId="21" fillId="0" borderId="19" xfId="0" applyFont="1" applyBorder="1"/>
    <xf numFmtId="0" fontId="25" fillId="0" borderId="16" xfId="0" applyFont="1" applyBorder="1" applyAlignment="1">
      <alignment horizontal="center" vertical="top" wrapText="1"/>
    </xf>
    <xf numFmtId="0" fontId="21" fillId="0" borderId="21" xfId="0" applyFont="1" applyBorder="1" applyAlignment="1">
      <alignment vertical="top" wrapText="1"/>
    </xf>
    <xf numFmtId="166" fontId="21" fillId="0" borderId="16" xfId="2" applyNumberFormat="1" applyFont="1" applyBorder="1" applyAlignment="1">
      <alignment horizontal="right" vertical="center" wrapText="1"/>
    </xf>
    <xf numFmtId="166" fontId="21" fillId="0" borderId="17" xfId="2" applyNumberFormat="1" applyFont="1" applyBorder="1" applyAlignment="1">
      <alignment horizontal="right" vertical="center" wrapText="1"/>
    </xf>
    <xf numFmtId="0" fontId="21" fillId="0" borderId="16" xfId="0" applyFont="1" applyBorder="1" applyAlignment="1">
      <alignment vertical="top" wrapText="1"/>
    </xf>
    <xf numFmtId="166" fontId="26" fillId="0" borderId="16" xfId="2" applyNumberFormat="1" applyFont="1" applyBorder="1" applyAlignment="1">
      <alignment horizontal="right" vertical="center" wrapText="1"/>
    </xf>
    <xf numFmtId="166" fontId="26" fillId="0" borderId="17" xfId="2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center" wrapText="1"/>
    </xf>
    <xf numFmtId="9" fontId="21" fillId="0" borderId="17" xfId="2" applyFont="1" applyBorder="1" applyAlignment="1">
      <alignment horizontal="center" vertical="center"/>
    </xf>
    <xf numFmtId="0" fontId="25" fillId="0" borderId="19" xfId="0" applyFont="1" applyBorder="1" applyAlignment="1">
      <alignment horizontal="left" vertical="top" wrapText="1"/>
    </xf>
    <xf numFmtId="0" fontId="25" fillId="0" borderId="16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1" fillId="0" borderId="23" xfId="0" applyFont="1" applyBorder="1" applyAlignment="1">
      <alignment vertical="top" wrapText="1"/>
    </xf>
    <xf numFmtId="166" fontId="26" fillId="0" borderId="23" xfId="2" applyNumberFormat="1" applyFont="1" applyBorder="1" applyAlignment="1">
      <alignment horizontal="right" vertical="center" wrapText="1"/>
    </xf>
    <xf numFmtId="166" fontId="26" fillId="0" borderId="24" xfId="2" applyNumberFormat="1" applyFont="1" applyBorder="1" applyAlignment="1">
      <alignment horizontal="right" vertical="center" wrapText="1"/>
    </xf>
    <xf numFmtId="166" fontId="21" fillId="0" borderId="25" xfId="2" applyNumberFormat="1" applyFont="1" applyBorder="1" applyAlignment="1">
      <alignment horizontal="right" vertical="center" wrapText="1"/>
    </xf>
    <xf numFmtId="166" fontId="21" fillId="0" borderId="26" xfId="2" applyNumberFormat="1" applyFont="1" applyBorder="1" applyAlignment="1">
      <alignment horizontal="right" vertical="center" wrapText="1"/>
    </xf>
    <xf numFmtId="166" fontId="21" fillId="0" borderId="19" xfId="2" applyNumberFormat="1" applyFont="1" applyBorder="1" applyAlignment="1">
      <alignment horizontal="right" vertical="center"/>
    </xf>
    <xf numFmtId="166" fontId="21" fillId="0" borderId="27" xfId="2" applyNumberFormat="1" applyFont="1" applyBorder="1" applyAlignment="1">
      <alignment horizontal="right" vertical="center"/>
    </xf>
    <xf numFmtId="166" fontId="21" fillId="0" borderId="28" xfId="2" applyNumberFormat="1" applyFont="1" applyBorder="1" applyAlignment="1">
      <alignment horizontal="right" vertical="center"/>
    </xf>
    <xf numFmtId="166" fontId="26" fillId="0" borderId="27" xfId="2" applyNumberFormat="1" applyFont="1" applyBorder="1" applyAlignment="1">
      <alignment horizontal="right" vertical="center" wrapText="1"/>
    </xf>
    <xf numFmtId="166" fontId="26" fillId="0" borderId="28" xfId="2" applyNumberFormat="1" applyFont="1" applyBorder="1" applyAlignment="1">
      <alignment horizontal="right" vertical="center" wrapText="1"/>
    </xf>
    <xf numFmtId="166" fontId="21" fillId="0" borderId="16" xfId="2" applyNumberFormat="1" applyFont="1" applyBorder="1" applyAlignment="1">
      <alignment horizontal="right" vertical="center"/>
    </xf>
    <xf numFmtId="166" fontId="21" fillId="0" borderId="29" xfId="2" applyNumberFormat="1" applyFont="1" applyBorder="1" applyAlignment="1">
      <alignment horizontal="right" vertical="center"/>
    </xf>
    <xf numFmtId="166" fontId="21" fillId="0" borderId="30" xfId="2" applyNumberFormat="1" applyFont="1" applyBorder="1" applyAlignment="1">
      <alignment horizontal="right" vertical="center"/>
    </xf>
    <xf numFmtId="0" fontId="8" fillId="0" borderId="0" xfId="0" applyFont="1" applyBorder="1"/>
    <xf numFmtId="0" fontId="10" fillId="0" borderId="0" xfId="0" applyFont="1" applyBorder="1" applyAlignment="1">
      <alignment vertical="top" wrapText="1"/>
    </xf>
    <xf numFmtId="0" fontId="2" fillId="0" borderId="31" xfId="0" applyFont="1" applyBorder="1" applyAlignment="1">
      <alignment horizontal="center"/>
    </xf>
    <xf numFmtId="0" fontId="2" fillId="0" borderId="31" xfId="0" applyFont="1" applyBorder="1"/>
    <xf numFmtId="170" fontId="2" fillId="0" borderId="31" xfId="0" applyNumberFormat="1" applyFont="1" applyBorder="1"/>
    <xf numFmtId="0" fontId="5" fillId="0" borderId="0" xfId="0" applyFont="1" applyBorder="1" applyAlignment="1">
      <alignment horizontal="left"/>
    </xf>
    <xf numFmtId="168" fontId="2" fillId="0" borderId="0" xfId="0" applyNumberFormat="1" applyFont="1" applyBorder="1"/>
    <xf numFmtId="0" fontId="8" fillId="0" borderId="35" xfId="0" applyFont="1" applyBorder="1" applyAlignment="1"/>
    <xf numFmtId="165" fontId="2" fillId="0" borderId="36" xfId="0" applyNumberFormat="1" applyFont="1" applyBorder="1"/>
    <xf numFmtId="168" fontId="2" fillId="0" borderId="36" xfId="0" applyNumberFormat="1" applyFont="1" applyBorder="1"/>
    <xf numFmtId="0" fontId="8" fillId="0" borderId="35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2" fillId="0" borderId="38" xfId="0" applyFont="1" applyBorder="1"/>
    <xf numFmtId="168" fontId="2" fillId="0" borderId="39" xfId="0" applyNumberFormat="1" applyFont="1" applyBorder="1"/>
    <xf numFmtId="43" fontId="2" fillId="0" borderId="36" xfId="1" applyNumberFormat="1" applyFont="1" applyFill="1" applyBorder="1"/>
    <xf numFmtId="43" fontId="2" fillId="0" borderId="39" xfId="1" applyNumberFormat="1" applyFont="1" applyFill="1" applyBorder="1"/>
    <xf numFmtId="0" fontId="8" fillId="0" borderId="35" xfId="0" applyFont="1" applyBorder="1" applyAlignment="1">
      <alignment horizontal="left"/>
    </xf>
    <xf numFmtId="0" fontId="8" fillId="0" borderId="35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2" fillId="0" borderId="43" xfId="0" applyFont="1" applyBorder="1"/>
    <xf numFmtId="0" fontId="5" fillId="0" borderId="43" xfId="0" applyFont="1" applyBorder="1" applyAlignment="1">
      <alignment horizontal="left"/>
    </xf>
    <xf numFmtId="0" fontId="2" fillId="0" borderId="44" xfId="0" applyFont="1" applyBorder="1"/>
    <xf numFmtId="0" fontId="2" fillId="0" borderId="46" xfId="0" applyFont="1" applyBorder="1"/>
    <xf numFmtId="0" fontId="2" fillId="0" borderId="47" xfId="0" applyFont="1" applyBorder="1"/>
    <xf numFmtId="0" fontId="8" fillId="0" borderId="45" xfId="0" applyFont="1" applyBorder="1" applyAlignment="1">
      <alignment horizontal="left" vertical="center"/>
    </xf>
    <xf numFmtId="0" fontId="2" fillId="0" borderId="48" xfId="0" applyFont="1" applyFill="1" applyBorder="1"/>
    <xf numFmtId="10" fontId="2" fillId="0" borderId="49" xfId="2" applyNumberFormat="1" applyFont="1" applyBorder="1"/>
    <xf numFmtId="0" fontId="2" fillId="0" borderId="40" xfId="0" applyFont="1" applyBorder="1"/>
    <xf numFmtId="9" fontId="2" fillId="0" borderId="42" xfId="0" applyNumberFormat="1" applyFont="1" applyBorder="1"/>
    <xf numFmtId="0" fontId="2" fillId="0" borderId="45" xfId="0" applyFont="1" applyBorder="1"/>
    <xf numFmtId="9" fontId="2" fillId="0" borderId="47" xfId="0" applyNumberFormat="1" applyFont="1" applyBorder="1"/>
    <xf numFmtId="0" fontId="5" fillId="0" borderId="48" xfId="0" applyFont="1" applyBorder="1" applyAlignment="1">
      <alignment horizontal="left"/>
    </xf>
    <xf numFmtId="9" fontId="2" fillId="0" borderId="49" xfId="2" applyFont="1" applyBorder="1"/>
    <xf numFmtId="166" fontId="2" fillId="0" borderId="42" xfId="2" applyNumberFormat="1" applyFont="1" applyBorder="1"/>
    <xf numFmtId="166" fontId="2" fillId="0" borderId="44" xfId="2" applyNumberFormat="1" applyFont="1" applyBorder="1"/>
    <xf numFmtId="0" fontId="5" fillId="0" borderId="45" xfId="0" applyFont="1" applyBorder="1" applyAlignment="1">
      <alignment horizontal="left"/>
    </xf>
    <xf numFmtId="0" fontId="2" fillId="0" borderId="35" xfId="0" applyFont="1" applyBorder="1"/>
    <xf numFmtId="0" fontId="2" fillId="0" borderId="36" xfId="0" applyFont="1" applyBorder="1"/>
    <xf numFmtId="0" fontId="2" fillId="0" borderId="53" xfId="0" applyFont="1" applyBorder="1"/>
    <xf numFmtId="0" fontId="2" fillId="0" borderId="54" xfId="0" applyFont="1" applyBorder="1"/>
    <xf numFmtId="0" fontId="2" fillId="0" borderId="55" xfId="0" applyFont="1" applyBorder="1"/>
    <xf numFmtId="0" fontId="2" fillId="0" borderId="56" xfId="0" applyFont="1" applyBorder="1"/>
    <xf numFmtId="0" fontId="2" fillId="0" borderId="58" xfId="0" applyFont="1" applyBorder="1"/>
    <xf numFmtId="9" fontId="2" fillId="0" borderId="59" xfId="0" applyNumberFormat="1" applyFont="1" applyBorder="1"/>
    <xf numFmtId="0" fontId="8" fillId="0" borderId="60" xfId="0" applyFont="1" applyBorder="1" applyAlignment="1">
      <alignment horizontal="left"/>
    </xf>
    <xf numFmtId="0" fontId="8" fillId="0" borderId="56" xfId="0" applyFont="1" applyBorder="1" applyAlignment="1">
      <alignment horizontal="left"/>
    </xf>
    <xf numFmtId="0" fontId="8" fillId="0" borderId="43" xfId="0" applyFont="1" applyBorder="1"/>
    <xf numFmtId="0" fontId="8" fillId="0" borderId="44" xfId="0" applyFont="1" applyBorder="1"/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1" fillId="2" borderId="0" xfId="0" applyFont="1" applyFill="1" applyBorder="1"/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8" fillId="7" borderId="0" xfId="0" applyFont="1" applyFill="1" applyBorder="1" applyAlignment="1">
      <alignment horizontal="center" vertical="center"/>
    </xf>
    <xf numFmtId="0" fontId="8" fillId="0" borderId="44" xfId="0" applyFont="1" applyBorder="1" applyAlignment="1">
      <alignment vertical="top"/>
    </xf>
    <xf numFmtId="0" fontId="0" fillId="0" borderId="44" xfId="0" applyBorder="1"/>
    <xf numFmtId="9" fontId="2" fillId="0" borderId="43" xfId="0" applyNumberFormat="1" applyFont="1" applyBorder="1"/>
    <xf numFmtId="0" fontId="0" fillId="0" borderId="46" xfId="0" applyBorder="1"/>
    <xf numFmtId="0" fontId="0" fillId="0" borderId="47" xfId="0" applyBorder="1"/>
    <xf numFmtId="170" fontId="2" fillId="0" borderId="31" xfId="0" applyNumberFormat="1" applyFont="1" applyBorder="1" applyAlignment="1">
      <alignment horizontal="center"/>
    </xf>
    <xf numFmtId="0" fontId="31" fillId="10" borderId="31" xfId="0" applyFont="1" applyFill="1" applyBorder="1"/>
    <xf numFmtId="43" fontId="2" fillId="0" borderId="0" xfId="0" applyNumberFormat="1" applyFont="1" applyBorder="1"/>
    <xf numFmtId="165" fontId="2" fillId="0" borderId="59" xfId="1" applyNumberFormat="1" applyFont="1" applyBorder="1"/>
    <xf numFmtId="9" fontId="33" fillId="4" borderId="0" xfId="0" applyNumberFormat="1" applyFont="1" applyFill="1" applyBorder="1" applyAlignment="1">
      <alignment vertical="center"/>
    </xf>
    <xf numFmtId="9" fontId="35" fillId="4" borderId="0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169" fontId="29" fillId="0" borderId="9" xfId="1" applyNumberFormat="1" applyFont="1" applyFill="1" applyBorder="1" applyAlignment="1">
      <alignment vertical="center"/>
    </xf>
    <xf numFmtId="0" fontId="2" fillId="0" borderId="5" xfId="0" applyFont="1" applyBorder="1"/>
    <xf numFmtId="167" fontId="29" fillId="0" borderId="9" xfId="0" applyNumberFormat="1" applyFont="1" applyBorder="1"/>
    <xf numFmtId="0" fontId="11" fillId="3" borderId="0" xfId="0" applyFont="1" applyFill="1" applyBorder="1"/>
    <xf numFmtId="166" fontId="11" fillId="3" borderId="0" xfId="2" applyNumberFormat="1" applyFont="1" applyFill="1" applyBorder="1" applyAlignment="1">
      <alignment horizontal="center"/>
    </xf>
    <xf numFmtId="166" fontId="11" fillId="2" borderId="0" xfId="2" applyNumberFormat="1" applyFont="1" applyFill="1" applyBorder="1" applyAlignment="1">
      <alignment horizontal="center"/>
    </xf>
    <xf numFmtId="9" fontId="14" fillId="0" borderId="0" xfId="2" applyFont="1" applyFill="1" applyBorder="1" applyAlignment="1">
      <alignment horizontal="center"/>
    </xf>
    <xf numFmtId="9" fontId="8" fillId="7" borderId="0" xfId="2" applyFont="1" applyFill="1" applyBorder="1" applyAlignment="1">
      <alignment horizontal="center" vertical="center"/>
    </xf>
    <xf numFmtId="0" fontId="8" fillId="8" borderId="0" xfId="0" applyFont="1" applyFill="1" applyBorder="1"/>
    <xf numFmtId="9" fontId="8" fillId="8" borderId="0" xfId="2" applyFont="1" applyFill="1" applyBorder="1" applyAlignment="1">
      <alignment horizontal="center" vertical="center"/>
    </xf>
    <xf numFmtId="0" fontId="2" fillId="0" borderId="61" xfId="0" applyFont="1" applyBorder="1"/>
    <xf numFmtId="0" fontId="8" fillId="0" borderId="65" xfId="0" applyFont="1" applyBorder="1" applyAlignment="1">
      <alignment horizontal="left" vertical="center"/>
    </xf>
    <xf numFmtId="168" fontId="2" fillId="0" borderId="8" xfId="0" applyNumberFormat="1" applyFont="1" applyBorder="1"/>
    <xf numFmtId="9" fontId="2" fillId="0" borderId="6" xfId="2" applyFont="1" applyBorder="1"/>
    <xf numFmtId="168" fontId="2" fillId="0" borderId="9" xfId="0" applyNumberFormat="1" applyFont="1" applyBorder="1"/>
    <xf numFmtId="43" fontId="2" fillId="0" borderId="4" xfId="1" applyFont="1" applyBorder="1"/>
    <xf numFmtId="0" fontId="15" fillId="0" borderId="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9" fontId="2" fillId="0" borderId="9" xfId="2" applyFont="1" applyBorder="1"/>
    <xf numFmtId="10" fontId="33" fillId="6" borderId="0" xfId="2" applyNumberFormat="1" applyFont="1" applyFill="1" applyBorder="1" applyAlignment="1">
      <alignment horizontal="center"/>
    </xf>
    <xf numFmtId="167" fontId="15" fillId="12" borderId="4" xfId="0" applyNumberFormat="1" applyFont="1" applyFill="1" applyBorder="1"/>
    <xf numFmtId="0" fontId="8" fillId="12" borderId="0" xfId="0" applyFont="1" applyFill="1" applyBorder="1"/>
    <xf numFmtId="43" fontId="2" fillId="0" borderId="57" xfId="1" applyNumberFormat="1" applyFont="1" applyBorder="1"/>
    <xf numFmtId="0" fontId="2" fillId="10" borderId="0" xfId="0" applyFont="1" applyFill="1"/>
    <xf numFmtId="1" fontId="2" fillId="0" borderId="31" xfId="0" applyNumberFormat="1" applyFont="1" applyBorder="1"/>
    <xf numFmtId="0" fontId="2" fillId="0" borderId="0" xfId="0" applyFont="1" applyFill="1" applyBorder="1"/>
    <xf numFmtId="170" fontId="2" fillId="0" borderId="0" xfId="0" applyNumberFormat="1" applyFont="1" applyFill="1" applyBorder="1"/>
    <xf numFmtId="170" fontId="31" fillId="0" borderId="0" xfId="0" applyNumberFormat="1" applyFont="1" applyFill="1" applyBorder="1"/>
    <xf numFmtId="166" fontId="2" fillId="0" borderId="47" xfId="2" applyNumberFormat="1" applyFont="1" applyBorder="1"/>
    <xf numFmtId="0" fontId="0" fillId="0" borderId="66" xfId="0" applyBorder="1"/>
    <xf numFmtId="0" fontId="0" fillId="0" borderId="1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10" xfId="0" applyBorder="1"/>
    <xf numFmtId="0" fontId="0" fillId="0" borderId="25" xfId="0" applyBorder="1"/>
    <xf numFmtId="0" fontId="0" fillId="0" borderId="11" xfId="0" applyBorder="1"/>
    <xf numFmtId="0" fontId="0" fillId="0" borderId="2" xfId="0" applyBorder="1"/>
    <xf numFmtId="0" fontId="0" fillId="0" borderId="70" xfId="0" applyBorder="1"/>
    <xf numFmtId="0" fontId="0" fillId="0" borderId="13" xfId="0" applyBorder="1"/>
    <xf numFmtId="0" fontId="0" fillId="0" borderId="27" xfId="0" applyBorder="1"/>
    <xf numFmtId="0" fontId="0" fillId="0" borderId="14" xfId="0" applyBorder="1"/>
    <xf numFmtId="0" fontId="0" fillId="0" borderId="15" xfId="0" applyBorder="1"/>
    <xf numFmtId="0" fontId="0" fillId="0" borderId="71" xfId="0" applyBorder="1"/>
    <xf numFmtId="0" fontId="36" fillId="0" borderId="67" xfId="0" applyFont="1" applyBorder="1"/>
    <xf numFmtId="0" fontId="37" fillId="14" borderId="78" xfId="4" applyFill="1" applyBorder="1" applyAlignment="1">
      <alignment horizontal="center" vertical="center" wrapText="1"/>
    </xf>
    <xf numFmtId="0" fontId="36" fillId="0" borderId="69" xfId="0" applyFont="1" applyBorder="1"/>
    <xf numFmtId="0" fontId="40" fillId="14" borderId="80" xfId="0" applyFont="1" applyFill="1" applyBorder="1" applyAlignment="1">
      <alignment horizontal="center" vertical="center" wrapText="1"/>
    </xf>
    <xf numFmtId="0" fontId="41" fillId="15" borderId="78" xfId="0" applyFont="1" applyFill="1" applyBorder="1" applyAlignment="1">
      <alignment vertical="center" wrapText="1"/>
    </xf>
    <xf numFmtId="0" fontId="41" fillId="16" borderId="78" xfId="0" applyFont="1" applyFill="1" applyBorder="1" applyAlignment="1">
      <alignment vertical="center" wrapText="1"/>
    </xf>
    <xf numFmtId="0" fontId="41" fillId="17" borderId="78" xfId="0" applyFont="1" applyFill="1" applyBorder="1" applyAlignment="1">
      <alignment vertical="center" wrapText="1"/>
    </xf>
    <xf numFmtId="0" fontId="41" fillId="18" borderId="78" xfId="0" applyFont="1" applyFill="1" applyBorder="1" applyAlignment="1">
      <alignment vertical="center" wrapText="1"/>
    </xf>
    <xf numFmtId="0" fontId="41" fillId="19" borderId="78" xfId="0" applyFont="1" applyFill="1" applyBorder="1" applyAlignment="1">
      <alignment vertical="center" wrapText="1"/>
    </xf>
    <xf numFmtId="0" fontId="41" fillId="20" borderId="78" xfId="0" applyFont="1" applyFill="1" applyBorder="1" applyAlignment="1">
      <alignment vertical="center" wrapText="1"/>
    </xf>
    <xf numFmtId="0" fontId="41" fillId="21" borderId="78" xfId="0" applyFont="1" applyFill="1" applyBorder="1" applyAlignment="1">
      <alignment vertical="center" wrapText="1"/>
    </xf>
    <xf numFmtId="0" fontId="41" fillId="22" borderId="78" xfId="0" applyFont="1" applyFill="1" applyBorder="1" applyAlignment="1">
      <alignment vertical="center" wrapText="1"/>
    </xf>
    <xf numFmtId="0" fontId="41" fillId="23" borderId="78" xfId="0" applyFont="1" applyFill="1" applyBorder="1" applyAlignment="1">
      <alignment vertical="center" wrapText="1"/>
    </xf>
    <xf numFmtId="0" fontId="41" fillId="24" borderId="78" xfId="0" applyFont="1" applyFill="1" applyBorder="1" applyAlignment="1">
      <alignment vertical="center" wrapText="1"/>
    </xf>
    <xf numFmtId="0" fontId="39" fillId="16" borderId="78" xfId="0" applyFont="1" applyFill="1" applyBorder="1" applyAlignment="1">
      <alignment vertical="center" wrapText="1"/>
    </xf>
    <xf numFmtId="0" fontId="39" fillId="18" borderId="78" xfId="0" applyFont="1" applyFill="1" applyBorder="1" applyAlignment="1">
      <alignment vertical="center" wrapText="1"/>
    </xf>
    <xf numFmtId="0" fontId="39" fillId="25" borderId="78" xfId="0" applyFont="1" applyFill="1" applyBorder="1" applyAlignment="1">
      <alignment vertical="center" wrapText="1"/>
    </xf>
    <xf numFmtId="0" fontId="39" fillId="23" borderId="78" xfId="0" applyFont="1" applyFill="1" applyBorder="1" applyAlignment="1">
      <alignment vertical="center" wrapText="1"/>
    </xf>
    <xf numFmtId="0" fontId="40" fillId="14" borderId="81" xfId="0" applyFont="1" applyFill="1" applyBorder="1" applyAlignment="1">
      <alignment horizontal="center" vertical="center" wrapText="1"/>
    </xf>
    <xf numFmtId="0" fontId="41" fillId="26" borderId="82" xfId="0" applyFont="1" applyFill="1" applyBorder="1" applyAlignment="1">
      <alignment vertical="center" wrapText="1"/>
    </xf>
    <xf numFmtId="0" fontId="41" fillId="27" borderId="82" xfId="0" applyFont="1" applyFill="1" applyBorder="1" applyAlignment="1">
      <alignment vertical="center" wrapText="1"/>
    </xf>
    <xf numFmtId="0" fontId="41" fillId="28" borderId="82" xfId="0" applyFont="1" applyFill="1" applyBorder="1" applyAlignment="1">
      <alignment vertical="center" wrapText="1"/>
    </xf>
    <xf numFmtId="0" fontId="41" fillId="29" borderId="82" xfId="0" applyFont="1" applyFill="1" applyBorder="1" applyAlignment="1">
      <alignment vertical="center" wrapText="1"/>
    </xf>
    <xf numFmtId="0" fontId="41" fillId="30" borderId="82" xfId="0" applyFont="1" applyFill="1" applyBorder="1" applyAlignment="1">
      <alignment vertical="center" wrapText="1"/>
    </xf>
    <xf numFmtId="0" fontId="41" fillId="23" borderId="82" xfId="0" applyFont="1" applyFill="1" applyBorder="1" applyAlignment="1">
      <alignment vertical="center" wrapText="1"/>
    </xf>
    <xf numFmtId="0" fontId="41" fillId="31" borderId="82" xfId="0" applyFont="1" applyFill="1" applyBorder="1" applyAlignment="1">
      <alignment vertical="center" wrapText="1"/>
    </xf>
    <xf numFmtId="0" fontId="41" fillId="18" borderId="82" xfId="0" applyFont="1" applyFill="1" applyBorder="1" applyAlignment="1">
      <alignment vertical="center" wrapText="1"/>
    </xf>
    <xf numFmtId="0" fontId="41" fillId="32" borderId="82" xfId="0" applyFont="1" applyFill="1" applyBorder="1" applyAlignment="1">
      <alignment vertical="center" wrapText="1"/>
    </xf>
    <xf numFmtId="0" fontId="41" fillId="33" borderId="82" xfId="0" applyFont="1" applyFill="1" applyBorder="1" applyAlignment="1">
      <alignment vertical="center" wrapText="1"/>
    </xf>
    <xf numFmtId="0" fontId="41" fillId="15" borderId="82" xfId="0" applyFont="1" applyFill="1" applyBorder="1" applyAlignment="1">
      <alignment vertical="center" wrapText="1"/>
    </xf>
    <xf numFmtId="0" fontId="41" fillId="34" borderId="82" xfId="0" applyFont="1" applyFill="1" applyBorder="1" applyAlignment="1">
      <alignment vertical="center" wrapText="1"/>
    </xf>
    <xf numFmtId="0" fontId="39" fillId="27" borderId="82" xfId="0" applyFont="1" applyFill="1" applyBorder="1" applyAlignment="1">
      <alignment vertical="center" wrapText="1"/>
    </xf>
    <xf numFmtId="0" fontId="39" fillId="35" borderId="82" xfId="0" applyFont="1" applyFill="1" applyBorder="1" applyAlignment="1">
      <alignment vertical="center" wrapText="1"/>
    </xf>
    <xf numFmtId="0" fontId="39" fillId="18" borderId="82" xfId="0" applyFont="1" applyFill="1" applyBorder="1" applyAlignment="1">
      <alignment vertical="center" wrapText="1"/>
    </xf>
    <xf numFmtId="0" fontId="39" fillId="33" borderId="82" xfId="0" applyFont="1" applyFill="1" applyBorder="1" applyAlignment="1">
      <alignment vertical="center" wrapText="1"/>
    </xf>
    <xf numFmtId="0" fontId="39" fillId="29" borderId="82" xfId="0" applyFont="1" applyFill="1" applyBorder="1" applyAlignment="1">
      <alignment vertical="center" wrapText="1"/>
    </xf>
    <xf numFmtId="0" fontId="36" fillId="0" borderId="70" xfId="0" applyFont="1" applyBorder="1"/>
    <xf numFmtId="0" fontId="36" fillId="0" borderId="0" xfId="0" applyFont="1"/>
    <xf numFmtId="0" fontId="41" fillId="33" borderId="78" xfId="0" applyFont="1" applyFill="1" applyBorder="1" applyAlignment="1">
      <alignment vertical="center" wrapText="1"/>
    </xf>
    <xf numFmtId="0" fontId="41" fillId="36" borderId="78" xfId="0" applyFont="1" applyFill="1" applyBorder="1" applyAlignment="1">
      <alignment vertical="center" wrapText="1"/>
    </xf>
    <xf numFmtId="0" fontId="41" fillId="37" borderId="78" xfId="0" applyFont="1" applyFill="1" applyBorder="1" applyAlignment="1">
      <alignment vertical="center" wrapText="1"/>
    </xf>
    <xf numFmtId="0" fontId="41" fillId="38" borderId="78" xfId="0" applyFont="1" applyFill="1" applyBorder="1" applyAlignment="1">
      <alignment vertical="center" wrapText="1"/>
    </xf>
    <xf numFmtId="0" fontId="41" fillId="39" borderId="78" xfId="0" applyFont="1" applyFill="1" applyBorder="1" applyAlignment="1">
      <alignment vertical="center" wrapText="1"/>
    </xf>
    <xf numFmtId="0" fontId="39" fillId="24" borderId="78" xfId="0" applyFont="1" applyFill="1" applyBorder="1" applyAlignment="1">
      <alignment vertical="center" wrapText="1"/>
    </xf>
    <xf numFmtId="0" fontId="39" fillId="36" borderId="78" xfId="0" applyFont="1" applyFill="1" applyBorder="1" applyAlignment="1">
      <alignment vertical="center" wrapText="1"/>
    </xf>
    <xf numFmtId="0" fontId="39" fillId="38" borderId="78" xfId="0" applyFont="1" applyFill="1" applyBorder="1" applyAlignment="1">
      <alignment vertical="center" wrapText="1"/>
    </xf>
    <xf numFmtId="0" fontId="41" fillId="40" borderId="82" xfId="0" applyFont="1" applyFill="1" applyBorder="1" applyAlignment="1">
      <alignment vertical="center" wrapText="1"/>
    </xf>
    <xf numFmtId="0" fontId="41" fillId="41" borderId="82" xfId="0" applyFont="1" applyFill="1" applyBorder="1" applyAlignment="1">
      <alignment vertical="center" wrapText="1"/>
    </xf>
    <xf numFmtId="0" fontId="41" fillId="42" borderId="82" xfId="0" applyFont="1" applyFill="1" applyBorder="1" applyAlignment="1">
      <alignment vertical="center" wrapText="1"/>
    </xf>
    <xf numFmtId="0" fontId="41" fillId="35" borderId="82" xfId="0" applyFont="1" applyFill="1" applyBorder="1" applyAlignment="1">
      <alignment vertical="center" wrapText="1"/>
    </xf>
    <xf numFmtId="0" fontId="41" fillId="24" borderId="82" xfId="0" applyFont="1" applyFill="1" applyBorder="1" applyAlignment="1">
      <alignment vertical="center" wrapText="1"/>
    </xf>
    <xf numFmtId="0" fontId="41" fillId="17" borderId="82" xfId="0" applyFont="1" applyFill="1" applyBorder="1" applyAlignment="1">
      <alignment vertical="center" wrapText="1"/>
    </xf>
    <xf numFmtId="0" fontId="41" fillId="43" borderId="82" xfId="0" applyFont="1" applyFill="1" applyBorder="1" applyAlignment="1">
      <alignment vertical="center" wrapText="1"/>
    </xf>
    <xf numFmtId="0" fontId="39" fillId="41" borderId="82" xfId="0" applyFont="1" applyFill="1" applyBorder="1" applyAlignment="1">
      <alignment vertical="center" wrapText="1"/>
    </xf>
    <xf numFmtId="0" fontId="39" fillId="28" borderId="82" xfId="0" applyFont="1" applyFill="1" applyBorder="1" applyAlignment="1">
      <alignment vertical="center" wrapText="1"/>
    </xf>
    <xf numFmtId="0" fontId="39" fillId="30" borderId="82" xfId="0" applyFont="1" applyFill="1" applyBorder="1" applyAlignment="1">
      <alignment vertical="center" wrapText="1"/>
    </xf>
    <xf numFmtId="0" fontId="39" fillId="44" borderId="82" xfId="0" applyFont="1" applyFill="1" applyBorder="1" applyAlignment="1">
      <alignment vertical="center" wrapText="1"/>
    </xf>
    <xf numFmtId="0" fontId="39" fillId="15" borderId="82" xfId="0" applyFont="1" applyFill="1" applyBorder="1" applyAlignment="1">
      <alignment vertical="center" wrapText="1"/>
    </xf>
    <xf numFmtId="0" fontId="0" fillId="0" borderId="12" xfId="0" applyBorder="1"/>
    <xf numFmtId="0" fontId="36" fillId="0" borderId="11" xfId="0" applyFont="1" applyBorder="1"/>
    <xf numFmtId="0" fontId="0" fillId="0" borderId="19" xfId="0" applyBorder="1"/>
    <xf numFmtId="0" fontId="0" fillId="0" borderId="16" xfId="0" applyBorder="1"/>
    <xf numFmtId="0" fontId="0" fillId="0" borderId="17" xfId="0" applyBorder="1"/>
    <xf numFmtId="0" fontId="0" fillId="0" borderId="19" xfId="0" applyBorder="1" applyAlignment="1">
      <alignment horizontal="right"/>
    </xf>
    <xf numFmtId="0" fontId="0" fillId="0" borderId="13" xfId="0" applyBorder="1" applyAlignment="1">
      <alignment horizontal="right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/>
    <xf numFmtId="0" fontId="2" fillId="0" borderId="19" xfId="0" applyFont="1" applyBorder="1" applyAlignment="1">
      <alignment vertical="center"/>
    </xf>
    <xf numFmtId="165" fontId="2" fillId="0" borderId="19" xfId="1" applyNumberFormat="1" applyFont="1" applyBorder="1"/>
    <xf numFmtId="0" fontId="2" fillId="0" borderId="19" xfId="0" applyFont="1" applyBorder="1" applyAlignment="1">
      <alignment horizontal="center" wrapText="1"/>
    </xf>
    <xf numFmtId="173" fontId="2" fillId="0" borderId="19" xfId="0" applyNumberFormat="1" applyFont="1" applyBorder="1"/>
    <xf numFmtId="172" fontId="2" fillId="0" borderId="19" xfId="0" applyNumberFormat="1" applyFont="1" applyBorder="1"/>
    <xf numFmtId="169" fontId="11" fillId="0" borderId="0" xfId="1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9" fontId="29" fillId="0" borderId="0" xfId="1" applyNumberFormat="1" applyFont="1" applyFill="1" applyBorder="1" applyAlignment="1">
      <alignment vertical="center"/>
    </xf>
    <xf numFmtId="0" fontId="0" fillId="0" borderId="83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31" fillId="10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7" fillId="10" borderId="0" xfId="0" applyFont="1" applyFill="1" applyAlignment="1">
      <alignment horizontal="center"/>
    </xf>
    <xf numFmtId="0" fontId="31" fillId="10" borderId="0" xfId="0" applyFont="1" applyFill="1" applyAlignment="1">
      <alignment horizontal="center"/>
    </xf>
    <xf numFmtId="0" fontId="0" fillId="45" borderId="67" xfId="0" applyFill="1" applyBorder="1" applyAlignment="1">
      <alignment horizontal="right"/>
    </xf>
    <xf numFmtId="0" fontId="0" fillId="45" borderId="69" xfId="0" applyFill="1" applyBorder="1" applyAlignment="1">
      <alignment horizontal="right"/>
    </xf>
    <xf numFmtId="0" fontId="0" fillId="45" borderId="69" xfId="0" applyFill="1" applyBorder="1"/>
    <xf numFmtId="0" fontId="0" fillId="45" borderId="12" xfId="0" applyFill="1" applyBorder="1"/>
    <xf numFmtId="0" fontId="0" fillId="45" borderId="19" xfId="0" applyFill="1" applyBorder="1"/>
    <xf numFmtId="0" fontId="0" fillId="5" borderId="0" xfId="0" applyFill="1"/>
    <xf numFmtId="0" fontId="0" fillId="5" borderId="10" xfId="0" applyFill="1" applyBorder="1"/>
    <xf numFmtId="0" fontId="0" fillId="5" borderId="25" xfId="0" applyFill="1" applyBorder="1"/>
    <xf numFmtId="0" fontId="0" fillId="5" borderId="11" xfId="0" applyFill="1" applyBorder="1"/>
    <xf numFmtId="0" fontId="0" fillId="5" borderId="13" xfId="0" applyFill="1" applyBorder="1"/>
    <xf numFmtId="0" fontId="0" fillId="5" borderId="27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29" xfId="0" applyFill="1" applyBorder="1"/>
    <xf numFmtId="0" fontId="0" fillId="5" borderId="17" xfId="0" applyFill="1" applyBorder="1"/>
    <xf numFmtId="0" fontId="43" fillId="0" borderId="0" xfId="0" applyFont="1"/>
    <xf numFmtId="0" fontId="2" fillId="0" borderId="19" xfId="0" applyFont="1" applyFill="1" applyBorder="1"/>
    <xf numFmtId="2" fontId="2" fillId="0" borderId="19" xfId="0" applyNumberFormat="1" applyFont="1" applyBorder="1"/>
    <xf numFmtId="2" fontId="0" fillId="0" borderId="19" xfId="0" applyNumberFormat="1" applyBorder="1"/>
    <xf numFmtId="174" fontId="2" fillId="0" borderId="19" xfId="0" applyNumberFormat="1" applyFont="1" applyBorder="1"/>
    <xf numFmtId="170" fontId="2" fillId="0" borderId="19" xfId="0" applyNumberFormat="1" applyFont="1" applyBorder="1"/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9" fontId="11" fillId="0" borderId="0" xfId="0" applyNumberFormat="1" applyFont="1" applyFill="1" applyBorder="1" applyAlignment="1">
      <alignment horizontal="center"/>
    </xf>
    <xf numFmtId="169" fontId="29" fillId="0" borderId="0" xfId="1" applyNumberFormat="1" applyFont="1" applyFill="1" applyBorder="1" applyAlignment="1">
      <alignment horizontal="center" vertical="center"/>
    </xf>
    <xf numFmtId="167" fontId="15" fillId="12" borderId="5" xfId="0" applyNumberFormat="1" applyFont="1" applyFill="1" applyBorder="1"/>
    <xf numFmtId="167" fontId="29" fillId="0" borderId="5" xfId="0" applyNumberFormat="1" applyFont="1" applyBorder="1"/>
    <xf numFmtId="0" fontId="7" fillId="10" borderId="0" xfId="0" applyFont="1" applyFill="1" applyAlignment="1">
      <alignment horizontal="left"/>
    </xf>
    <xf numFmtId="0" fontId="31" fillId="10" borderId="19" xfId="0" applyFont="1" applyFill="1" applyBorder="1"/>
    <xf numFmtId="0" fontId="2" fillId="0" borderId="23" xfId="0" applyFont="1" applyBorder="1"/>
    <xf numFmtId="173" fontId="4" fillId="0" borderId="0" xfId="0" applyNumberFormat="1" applyFont="1" applyBorder="1"/>
    <xf numFmtId="0" fontId="4" fillId="0" borderId="0" xfId="0" applyFont="1" applyBorder="1"/>
    <xf numFmtId="0" fontId="31" fillId="10" borderId="23" xfId="0" applyFont="1" applyFill="1" applyBorder="1"/>
    <xf numFmtId="0" fontId="2" fillId="0" borderId="94" xfId="0" applyFont="1" applyBorder="1" applyAlignment="1">
      <alignment horizontal="center"/>
    </xf>
    <xf numFmtId="170" fontId="2" fillId="0" borderId="94" xfId="0" applyNumberFormat="1" applyFont="1" applyBorder="1" applyAlignment="1">
      <alignment horizontal="center"/>
    </xf>
    <xf numFmtId="0" fontId="36" fillId="0" borderId="19" xfId="0" applyFont="1" applyBorder="1" applyAlignment="1">
      <alignment horizontal="right"/>
    </xf>
    <xf numFmtId="0" fontId="0" fillId="8" borderId="19" xfId="0" applyFill="1" applyBorder="1" applyAlignment="1">
      <alignment horizontal="right"/>
    </xf>
    <xf numFmtId="0" fontId="0" fillId="8" borderId="19" xfId="0" applyFill="1" applyBorder="1"/>
    <xf numFmtId="0" fontId="36" fillId="0" borderId="19" xfId="0" applyFont="1" applyBorder="1"/>
    <xf numFmtId="0" fontId="0" fillId="46" borderId="0" xfId="0" applyFill="1"/>
    <xf numFmtId="0" fontId="0" fillId="47" borderId="19" xfId="0" applyFill="1" applyBorder="1"/>
    <xf numFmtId="166" fontId="0" fillId="8" borderId="19" xfId="0" applyNumberFormat="1" applyFill="1" applyBorder="1" applyAlignment="1">
      <alignment horizontal="right"/>
    </xf>
    <xf numFmtId="169" fontId="0" fillId="8" borderId="19" xfId="0" applyNumberFormat="1" applyFill="1" applyBorder="1" applyAlignment="1">
      <alignment horizontal="right"/>
    </xf>
    <xf numFmtId="173" fontId="0" fillId="0" borderId="19" xfId="0" applyNumberFormat="1" applyBorder="1"/>
    <xf numFmtId="166" fontId="36" fillId="0" borderId="19" xfId="0" applyNumberFormat="1" applyFont="1" applyBorder="1"/>
    <xf numFmtId="173" fontId="36" fillId="0" borderId="19" xfId="0" applyNumberFormat="1" applyFont="1" applyBorder="1"/>
    <xf numFmtId="9" fontId="0" fillId="8" borderId="19" xfId="0" applyNumberFormat="1" applyFill="1" applyBorder="1"/>
    <xf numFmtId="0" fontId="36" fillId="0" borderId="0" xfId="0" applyFont="1" applyBorder="1"/>
    <xf numFmtId="173" fontId="36" fillId="0" borderId="27" xfId="0" applyNumberFormat="1" applyFont="1" applyBorder="1"/>
    <xf numFmtId="1" fontId="2" fillId="0" borderId="0" xfId="0" applyNumberFormat="1" applyFont="1" applyFill="1" applyBorder="1"/>
    <xf numFmtId="174" fontId="2" fillId="0" borderId="0" xfId="1" applyNumberFormat="1" applyFont="1" applyFill="1" applyBorder="1"/>
    <xf numFmtId="171" fontId="2" fillId="0" borderId="0" xfId="0" applyNumberFormat="1" applyFont="1" applyFill="1" applyBorder="1"/>
    <xf numFmtId="0" fontId="32" fillId="0" borderId="0" xfId="0" applyFont="1" applyFill="1" applyBorder="1"/>
    <xf numFmtId="174" fontId="2" fillId="0" borderId="0" xfId="0" applyNumberFormat="1" applyFont="1" applyFill="1" applyBorder="1"/>
    <xf numFmtId="1" fontId="2" fillId="0" borderId="0" xfId="1" applyNumberFormat="1" applyFont="1" applyFill="1" applyBorder="1"/>
    <xf numFmtId="0" fontId="0" fillId="0" borderId="0" xfId="0" applyFill="1" applyBorder="1"/>
    <xf numFmtId="2" fontId="12" fillId="0" borderId="0" xfId="3" applyNumberFormat="1" applyFont="1" applyFill="1" applyBorder="1"/>
    <xf numFmtId="171" fontId="2" fillId="0" borderId="0" xfId="3" applyNumberFormat="1" applyFont="1" applyFill="1" applyBorder="1"/>
    <xf numFmtId="0" fontId="7" fillId="0" borderId="0" xfId="0" applyFont="1" applyFill="1" applyBorder="1"/>
    <xf numFmtId="171" fontId="7" fillId="0" borderId="0" xfId="0" applyNumberFormat="1" applyFont="1" applyFill="1" applyBorder="1"/>
    <xf numFmtId="171" fontId="7" fillId="0" borderId="0" xfId="3" applyNumberFormat="1" applyFont="1" applyFill="1" applyBorder="1"/>
    <xf numFmtId="0" fontId="44" fillId="0" borderId="0" xfId="0" applyFont="1"/>
    <xf numFmtId="2" fontId="44" fillId="0" borderId="0" xfId="0" applyNumberFormat="1" applyFont="1" applyAlignment="1">
      <alignment horizontal="center"/>
    </xf>
    <xf numFmtId="2" fontId="47" fillId="0" borderId="0" xfId="0" applyNumberFormat="1" applyFont="1" applyAlignment="1">
      <alignment horizontal="center"/>
    </xf>
    <xf numFmtId="2" fontId="47" fillId="0" borderId="0" xfId="0" applyNumberFormat="1" applyFont="1" applyAlignment="1">
      <alignment horizontal="left"/>
    </xf>
    <xf numFmtId="0" fontId="47" fillId="0" borderId="0" xfId="0" applyFont="1"/>
    <xf numFmtId="0" fontId="48" fillId="0" borderId="98" xfId="0" applyFont="1" applyBorder="1"/>
    <xf numFmtId="4" fontId="47" fillId="0" borderId="98" xfId="0" applyNumberFormat="1" applyFont="1" applyBorder="1"/>
    <xf numFmtId="0" fontId="49" fillId="0" borderId="98" xfId="0" applyFont="1" applyBorder="1"/>
    <xf numFmtId="0" fontId="44" fillId="51" borderId="0" xfId="0" applyFont="1" applyFill="1"/>
    <xf numFmtId="4" fontId="44" fillId="51" borderId="0" xfId="0" applyNumberFormat="1" applyFont="1" applyFill="1"/>
    <xf numFmtId="0" fontId="49" fillId="52" borderId="98" xfId="0" applyFont="1" applyFill="1" applyBorder="1"/>
    <xf numFmtId="3" fontId="47" fillId="0" borderId="98" xfId="0" applyNumberFormat="1" applyFont="1" applyBorder="1"/>
    <xf numFmtId="0" fontId="44" fillId="0" borderId="98" xfId="0" applyFont="1" applyBorder="1"/>
    <xf numFmtId="9" fontId="47" fillId="0" borderId="98" xfId="2" applyFont="1" applyFill="1" applyBorder="1"/>
    <xf numFmtId="0" fontId="47" fillId="0" borderId="98" xfId="0" applyFont="1" applyBorder="1"/>
    <xf numFmtId="166" fontId="47" fillId="0" borderId="98" xfId="0" applyNumberFormat="1" applyFont="1" applyBorder="1"/>
    <xf numFmtId="10" fontId="47" fillId="0" borderId="98" xfId="0" applyNumberFormat="1" applyFont="1" applyBorder="1"/>
    <xf numFmtId="175" fontId="47" fillId="0" borderId="98" xfId="0" applyNumberFormat="1" applyFont="1" applyBorder="1"/>
    <xf numFmtId="10" fontId="44" fillId="0" borderId="0" xfId="0" applyNumberFormat="1" applyFont="1"/>
    <xf numFmtId="2" fontId="44" fillId="0" borderId="0" xfId="0" applyNumberFormat="1" applyFont="1"/>
    <xf numFmtId="165" fontId="44" fillId="0" borderId="0" xfId="1" applyNumberFormat="1" applyFont="1"/>
    <xf numFmtId="3" fontId="44" fillId="0" borderId="0" xfId="0" applyNumberFormat="1" applyFont="1"/>
    <xf numFmtId="10" fontId="44" fillId="0" borderId="0" xfId="2" applyNumberFormat="1" applyFont="1"/>
    <xf numFmtId="0" fontId="49" fillId="0" borderId="0" xfId="0" applyFont="1"/>
    <xf numFmtId="0" fontId="51" fillId="0" borderId="0" xfId="0" applyFont="1"/>
    <xf numFmtId="0" fontId="49" fillId="0" borderId="0" xfId="0" applyFont="1" applyAlignment="1">
      <alignment horizontal="left"/>
    </xf>
    <xf numFmtId="0" fontId="46" fillId="49" borderId="23" xfId="0" applyFont="1" applyFill="1" applyBorder="1" applyAlignment="1">
      <alignment horizontal="center"/>
    </xf>
    <xf numFmtId="0" fontId="52" fillId="48" borderId="98" xfId="0" applyFont="1" applyFill="1" applyBorder="1"/>
    <xf numFmtId="0" fontId="53" fillId="48" borderId="98" xfId="0" applyFont="1" applyFill="1" applyBorder="1"/>
    <xf numFmtId="0" fontId="52" fillId="48" borderId="98" xfId="0" applyFont="1" applyFill="1" applyBorder="1" applyAlignment="1">
      <alignment horizontal="center"/>
    </xf>
    <xf numFmtId="0" fontId="54" fillId="0" borderId="0" xfId="0" applyFont="1"/>
    <xf numFmtId="0" fontId="44" fillId="51" borderId="98" xfId="0" applyFont="1" applyFill="1" applyBorder="1"/>
    <xf numFmtId="176" fontId="44" fillId="0" borderId="98" xfId="0" applyNumberFormat="1" applyFont="1" applyBorder="1"/>
    <xf numFmtId="0" fontId="44" fillId="0" borderId="98" xfId="0" applyFont="1" applyBorder="1" applyAlignment="1">
      <alignment horizontal="center"/>
    </xf>
    <xf numFmtId="176" fontId="44" fillId="51" borderId="98" xfId="0" applyNumberFormat="1" applyFont="1" applyFill="1" applyBorder="1"/>
    <xf numFmtId="10" fontId="44" fillId="51" borderId="98" xfId="2" applyNumberFormat="1" applyFont="1" applyFill="1" applyBorder="1" applyAlignment="1"/>
    <xf numFmtId="166" fontId="44" fillId="51" borderId="98" xfId="2" applyNumberFormat="1" applyFont="1" applyFill="1" applyBorder="1" applyAlignment="1"/>
    <xf numFmtId="175" fontId="44" fillId="51" borderId="98" xfId="0" applyNumberFormat="1" applyFont="1" applyFill="1" applyBorder="1"/>
    <xf numFmtId="0" fontId="44" fillId="51" borderId="98" xfId="0" applyFont="1" applyFill="1" applyBorder="1" applyAlignment="1">
      <alignment horizontal="center"/>
    </xf>
    <xf numFmtId="177" fontId="44" fillId="0" borderId="98" xfId="0" applyNumberFormat="1" applyFont="1" applyBorder="1"/>
    <xf numFmtId="177" fontId="44" fillId="51" borderId="98" xfId="0" applyNumberFormat="1" applyFont="1" applyFill="1" applyBorder="1"/>
    <xf numFmtId="0" fontId="55" fillId="51" borderId="98" xfId="0" applyFont="1" applyFill="1" applyBorder="1" applyAlignment="1">
      <alignment horizontal="right"/>
    </xf>
    <xf numFmtId="10" fontId="44" fillId="51" borderId="98" xfId="0" applyNumberFormat="1" applyFont="1" applyFill="1" applyBorder="1"/>
    <xf numFmtId="178" fontId="44" fillId="51" borderId="98" xfId="0" applyNumberFormat="1" applyFont="1" applyFill="1" applyBorder="1"/>
    <xf numFmtId="10" fontId="44" fillId="51" borderId="98" xfId="0" applyNumberFormat="1" applyFont="1" applyFill="1" applyBorder="1" applyAlignment="1">
      <alignment horizontal="left"/>
    </xf>
    <xf numFmtId="0" fontId="44" fillId="51" borderId="98" xfId="0" applyFont="1" applyFill="1" applyBorder="1" applyAlignment="1">
      <alignment horizontal="right"/>
    </xf>
    <xf numFmtId="176" fontId="52" fillId="48" borderId="98" xfId="0" applyNumberFormat="1" applyFont="1" applyFill="1" applyBorder="1"/>
    <xf numFmtId="179" fontId="44" fillId="0" borderId="98" xfId="1" applyNumberFormat="1" applyFont="1" applyFill="1" applyBorder="1"/>
    <xf numFmtId="3" fontId="44" fillId="0" borderId="98" xfId="0" applyNumberFormat="1" applyFont="1" applyBorder="1"/>
    <xf numFmtId="8" fontId="44" fillId="0" borderId="98" xfId="0" applyNumberFormat="1" applyFont="1" applyBorder="1"/>
    <xf numFmtId="178" fontId="56" fillId="51" borderId="98" xfId="0" applyNumberFormat="1" applyFont="1" applyFill="1" applyBorder="1"/>
    <xf numFmtId="3" fontId="52" fillId="48" borderId="98" xfId="0" applyNumberFormat="1" applyFont="1" applyFill="1" applyBorder="1" applyAlignment="1">
      <alignment horizontal="center"/>
    </xf>
    <xf numFmtId="176" fontId="45" fillId="48" borderId="98" xfId="0" applyNumberFormat="1" applyFont="1" applyFill="1" applyBorder="1"/>
    <xf numFmtId="0" fontId="46" fillId="48" borderId="98" xfId="0" applyFont="1" applyFill="1" applyBorder="1"/>
    <xf numFmtId="180" fontId="57" fillId="50" borderId="98" xfId="3" applyNumberFormat="1" applyFont="1" applyFill="1" applyBorder="1" applyAlignment="1">
      <alignment horizontal="center"/>
    </xf>
    <xf numFmtId="9" fontId="54" fillId="0" borderId="0" xfId="2" applyFont="1"/>
    <xf numFmtId="10" fontId="57" fillId="50" borderId="98" xfId="0" applyNumberFormat="1" applyFont="1" applyFill="1" applyBorder="1" applyAlignment="1">
      <alignment horizontal="center"/>
    </xf>
    <xf numFmtId="181" fontId="54" fillId="0" borderId="0" xfId="0" applyNumberFormat="1" applyFont="1"/>
    <xf numFmtId="0" fontId="52" fillId="48" borderId="95" xfId="0" applyFont="1" applyFill="1" applyBorder="1"/>
    <xf numFmtId="0" fontId="53" fillId="48" borderId="96" xfId="0" applyFont="1" applyFill="1" applyBorder="1"/>
    <xf numFmtId="10" fontId="57" fillId="50" borderId="97" xfId="0" applyNumberFormat="1" applyFont="1" applyFill="1" applyBorder="1" applyAlignment="1">
      <alignment horizontal="center"/>
    </xf>
    <xf numFmtId="0" fontId="58" fillId="48" borderId="98" xfId="0" applyFont="1" applyFill="1" applyBorder="1"/>
    <xf numFmtId="0" fontId="59" fillId="48" borderId="98" xfId="0" applyFont="1" applyFill="1" applyBorder="1"/>
    <xf numFmtId="1" fontId="60" fillId="50" borderId="98" xfId="0" applyNumberFormat="1" applyFont="1" applyFill="1" applyBorder="1" applyAlignment="1">
      <alignment horizontal="center"/>
    </xf>
    <xf numFmtId="0" fontId="45" fillId="0" borderId="0" xfId="0" applyFont="1"/>
    <xf numFmtId="0" fontId="46" fillId="0" borderId="0" xfId="0" applyFont="1"/>
    <xf numFmtId="10" fontId="47" fillId="0" borderId="0" xfId="0" applyNumberFormat="1" applyFont="1" applyAlignment="1">
      <alignment horizontal="center"/>
    </xf>
    <xf numFmtId="20" fontId="49" fillId="0" borderId="0" xfId="0" applyNumberFormat="1" applyFont="1"/>
    <xf numFmtId="9" fontId="47" fillId="0" borderId="98" xfId="0" applyNumberFormat="1" applyFont="1" applyBorder="1"/>
    <xf numFmtId="3" fontId="44" fillId="51" borderId="98" xfId="0" applyNumberFormat="1" applyFont="1" applyFill="1" applyBorder="1"/>
    <xf numFmtId="0" fontId="44" fillId="0" borderId="100" xfId="0" applyFont="1" applyBorder="1" applyAlignment="1">
      <alignment horizontal="center"/>
    </xf>
    <xf numFmtId="176" fontId="44" fillId="0" borderId="100" xfId="0" applyNumberFormat="1" applyFont="1" applyBorder="1"/>
    <xf numFmtId="0" fontId="0" fillId="0" borderId="99" xfId="0" applyBorder="1"/>
    <xf numFmtId="0" fontId="44" fillId="51" borderId="100" xfId="0" applyFont="1" applyFill="1" applyBorder="1"/>
    <xf numFmtId="0" fontId="44" fillId="0" borderId="100" xfId="0" applyFont="1" applyBorder="1"/>
    <xf numFmtId="0" fontId="44" fillId="51" borderId="100" xfId="0" applyFont="1" applyFill="1" applyBorder="1" applyAlignment="1">
      <alignment horizontal="right"/>
    </xf>
    <xf numFmtId="175" fontId="44" fillId="51" borderId="100" xfId="0" applyNumberFormat="1" applyFont="1" applyFill="1" applyBorder="1"/>
    <xf numFmtId="0" fontId="44" fillId="51" borderId="100" xfId="0" applyFont="1" applyFill="1" applyBorder="1" applyAlignment="1">
      <alignment horizontal="center"/>
    </xf>
    <xf numFmtId="176" fontId="44" fillId="51" borderId="100" xfId="0" applyNumberFormat="1" applyFont="1" applyFill="1" applyBorder="1"/>
    <xf numFmtId="0" fontId="44" fillId="51" borderId="101" xfId="0" applyFont="1" applyFill="1" applyBorder="1"/>
    <xf numFmtId="0" fontId="44" fillId="0" borderId="101" xfId="0" applyFont="1" applyBorder="1"/>
    <xf numFmtId="0" fontId="44" fillId="51" borderId="101" xfId="0" applyFont="1" applyFill="1" applyBorder="1" applyAlignment="1">
      <alignment horizontal="right"/>
    </xf>
    <xf numFmtId="175" fontId="44" fillId="51" borderId="101" xfId="0" applyNumberFormat="1" applyFont="1" applyFill="1" applyBorder="1"/>
    <xf numFmtId="0" fontId="44" fillId="51" borderId="101" xfId="0" applyFont="1" applyFill="1" applyBorder="1" applyAlignment="1">
      <alignment horizontal="center"/>
    </xf>
    <xf numFmtId="176" fontId="44" fillId="51" borderId="101" xfId="0" applyNumberFormat="1" applyFont="1" applyFill="1" applyBorder="1"/>
    <xf numFmtId="0" fontId="44" fillId="51" borderId="102" xfId="0" applyFont="1" applyFill="1" applyBorder="1"/>
    <xf numFmtId="0" fontId="44" fillId="0" borderId="102" xfId="0" applyFont="1" applyBorder="1"/>
    <xf numFmtId="0" fontId="44" fillId="51" borderId="102" xfId="0" applyFont="1" applyFill="1" applyBorder="1" applyAlignment="1">
      <alignment horizontal="right"/>
    </xf>
    <xf numFmtId="175" fontId="44" fillId="51" borderId="102" xfId="0" applyNumberFormat="1" applyFont="1" applyFill="1" applyBorder="1"/>
    <xf numFmtId="176" fontId="44" fillId="51" borderId="102" xfId="0" applyNumberFormat="1" applyFont="1" applyFill="1" applyBorder="1"/>
    <xf numFmtId="169" fontId="0" fillId="0" borderId="19" xfId="0" applyNumberFormat="1" applyBorder="1"/>
    <xf numFmtId="0" fontId="44" fillId="51" borderId="103" xfId="0" applyFont="1" applyFill="1" applyBorder="1"/>
    <xf numFmtId="0" fontId="44" fillId="0" borderId="103" xfId="0" applyFont="1" applyBorder="1"/>
    <xf numFmtId="0" fontId="44" fillId="51" borderId="103" xfId="0" applyFont="1" applyFill="1" applyBorder="1" applyAlignment="1">
      <alignment horizontal="right"/>
    </xf>
    <xf numFmtId="175" fontId="44" fillId="51" borderId="103" xfId="0" applyNumberFormat="1" applyFont="1" applyFill="1" applyBorder="1"/>
    <xf numFmtId="0" fontId="44" fillId="51" borderId="103" xfId="0" applyFont="1" applyFill="1" applyBorder="1" applyAlignment="1">
      <alignment horizontal="center"/>
    </xf>
    <xf numFmtId="176" fontId="44" fillId="51" borderId="103" xfId="0" applyNumberFormat="1" applyFont="1" applyFill="1" applyBorder="1"/>
    <xf numFmtId="0" fontId="49" fillId="5" borderId="98" xfId="0" applyFont="1" applyFill="1" applyBorder="1"/>
    <xf numFmtId="10" fontId="47" fillId="5" borderId="98" xfId="0" applyNumberFormat="1" applyFont="1" applyFill="1" applyBorder="1"/>
    <xf numFmtId="0" fontId="50" fillId="5" borderId="98" xfId="4" applyFont="1" applyFill="1" applyBorder="1" applyAlignment="1" applyProtection="1"/>
    <xf numFmtId="0" fontId="44" fillId="5" borderId="0" xfId="0" applyFont="1" applyFill="1"/>
    <xf numFmtId="0" fontId="49" fillId="5" borderId="0" xfId="0" applyFont="1" applyFill="1"/>
    <xf numFmtId="0" fontId="47" fillId="5" borderId="0" xfId="0" applyFont="1" applyFill="1"/>
    <xf numFmtId="0" fontId="44" fillId="0" borderId="0" xfId="0" applyFont="1" applyFill="1"/>
    <xf numFmtId="1" fontId="0" fillId="0" borderId="0" xfId="0" applyNumberFormat="1"/>
    <xf numFmtId="0" fontId="38" fillId="13" borderId="104" xfId="0" applyFont="1" applyFill="1" applyBorder="1" applyAlignment="1">
      <alignment wrapText="1"/>
    </xf>
    <xf numFmtId="4" fontId="38" fillId="13" borderId="104" xfId="0" applyNumberFormat="1" applyFont="1" applyFill="1" applyBorder="1" applyAlignment="1">
      <alignment horizontal="right" wrapText="1"/>
    </xf>
    <xf numFmtId="0" fontId="38" fillId="13" borderId="104" xfId="0" applyFont="1" applyFill="1" applyBorder="1" applyAlignment="1">
      <alignment horizontal="right" wrapText="1"/>
    </xf>
    <xf numFmtId="0" fontId="38" fillId="53" borderId="104" xfId="0" applyFont="1" applyFill="1" applyBorder="1" applyAlignment="1">
      <alignment wrapText="1"/>
    </xf>
    <xf numFmtId="4" fontId="38" fillId="53" borderId="104" xfId="0" applyNumberFormat="1" applyFont="1" applyFill="1" applyBorder="1" applyAlignment="1">
      <alignment horizontal="right" wrapText="1"/>
    </xf>
    <xf numFmtId="0" fontId="38" fillId="53" borderId="104" xfId="0" applyFont="1" applyFill="1" applyBorder="1" applyAlignment="1">
      <alignment horizontal="right" wrapText="1"/>
    </xf>
    <xf numFmtId="0" fontId="0" fillId="52" borderId="10" xfId="0" applyFill="1" applyBorder="1"/>
    <xf numFmtId="0" fontId="0" fillId="52" borderId="12" xfId="0" applyFill="1" applyBorder="1"/>
    <xf numFmtId="0" fontId="0" fillId="52" borderId="11" xfId="0" applyFill="1" applyBorder="1"/>
    <xf numFmtId="0" fontId="0" fillId="52" borderId="13" xfId="0" applyFill="1" applyBorder="1"/>
    <xf numFmtId="0" fontId="0" fillId="52" borderId="19" xfId="0" applyFill="1" applyBorder="1"/>
    <xf numFmtId="0" fontId="0" fillId="52" borderId="14" xfId="0" applyFill="1" applyBorder="1"/>
    <xf numFmtId="0" fontId="0" fillId="52" borderId="16" xfId="0" applyFill="1" applyBorder="1"/>
    <xf numFmtId="0" fontId="0" fillId="52" borderId="17" xfId="0" applyFill="1" applyBorder="1"/>
    <xf numFmtId="0" fontId="0" fillId="54" borderId="13" xfId="0" applyFill="1" applyBorder="1"/>
    <xf numFmtId="0" fontId="0" fillId="54" borderId="19" xfId="0" applyFill="1" applyBorder="1"/>
    <xf numFmtId="0" fontId="0" fillId="54" borderId="14" xfId="0" applyFill="1" applyBorder="1"/>
    <xf numFmtId="0" fontId="0" fillId="52" borderId="105" xfId="0" applyFill="1" applyBorder="1"/>
    <xf numFmtId="0" fontId="0" fillId="52" borderId="106" xfId="0" applyFill="1" applyBorder="1"/>
    <xf numFmtId="0" fontId="0" fillId="54" borderId="106" xfId="0" applyFill="1" applyBorder="1"/>
    <xf numFmtId="0" fontId="0" fillId="52" borderId="107" xfId="0" applyFill="1" applyBorder="1"/>
    <xf numFmtId="174" fontId="0" fillId="0" borderId="17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" fontId="0" fillId="0" borderId="71" xfId="0" applyNumberFormat="1" applyBorder="1"/>
    <xf numFmtId="1" fontId="0" fillId="0" borderId="2" xfId="0" applyNumberFormat="1" applyBorder="1"/>
    <xf numFmtId="174" fontId="0" fillId="45" borderId="69" xfId="0" applyNumberFormat="1" applyFill="1" applyBorder="1"/>
    <xf numFmtId="174" fontId="0" fillId="45" borderId="70" xfId="0" applyNumberFormat="1" applyFill="1" applyBorder="1"/>
    <xf numFmtId="0" fontId="0" fillId="54" borderId="12" xfId="0" applyFill="1" applyBorder="1"/>
    <xf numFmtId="0" fontId="0" fillId="0" borderId="22" xfId="0" applyBorder="1"/>
    <xf numFmtId="1" fontId="36" fillId="0" borderId="0" xfId="0" applyNumberFormat="1" applyFont="1"/>
    <xf numFmtId="0" fontId="0" fillId="54" borderId="10" xfId="0" applyFill="1" applyBorder="1"/>
    <xf numFmtId="0" fontId="0" fillId="54" borderId="11" xfId="0" applyFill="1" applyBorder="1"/>
    <xf numFmtId="0" fontId="63" fillId="14" borderId="13" xfId="0" applyFont="1" applyFill="1" applyBorder="1" applyAlignment="1">
      <alignment horizontal="center" vertical="center" wrapText="1"/>
    </xf>
    <xf numFmtId="0" fontId="63" fillId="0" borderId="15" xfId="0" applyFont="1" applyBorder="1" applyAlignment="1">
      <alignment horizontal="center"/>
    </xf>
    <xf numFmtId="174" fontId="64" fillId="52" borderId="19" xfId="0" applyNumberFormat="1" applyFont="1" applyFill="1" applyBorder="1" applyAlignment="1">
      <alignment vertical="center" wrapText="1"/>
    </xf>
    <xf numFmtId="174" fontId="27" fillId="52" borderId="16" xfId="0" applyNumberFormat="1" applyFont="1" applyFill="1" applyBorder="1"/>
    <xf numFmtId="0" fontId="63" fillId="54" borderId="19" xfId="4" applyFont="1" applyFill="1" applyBorder="1" applyAlignment="1">
      <alignment horizontal="center" vertical="center" wrapText="1"/>
    </xf>
    <xf numFmtId="174" fontId="64" fillId="52" borderId="14" xfId="0" applyNumberFormat="1" applyFont="1" applyFill="1" applyBorder="1" applyAlignment="1">
      <alignment vertical="center" wrapText="1"/>
    </xf>
    <xf numFmtId="174" fontId="27" fillId="52" borderId="17" xfId="0" applyNumberFormat="1" applyFont="1" applyFill="1" applyBorder="1"/>
    <xf numFmtId="0" fontId="63" fillId="54" borderId="12" xfId="4" applyFont="1" applyFill="1" applyBorder="1" applyAlignment="1">
      <alignment horizontal="center" vertical="center" wrapText="1"/>
    </xf>
    <xf numFmtId="0" fontId="0" fillId="54" borderId="108" xfId="0" applyFill="1" applyBorder="1" applyAlignment="1">
      <alignment horizontal="right"/>
    </xf>
    <xf numFmtId="0" fontId="0" fillId="54" borderId="109" xfId="0" applyFill="1" applyBorder="1" applyAlignment="1">
      <alignment horizontal="right"/>
    </xf>
    <xf numFmtId="0" fontId="0" fillId="54" borderId="110" xfId="0" applyFill="1" applyBorder="1" applyAlignment="1">
      <alignment horizontal="right"/>
    </xf>
    <xf numFmtId="1" fontId="0" fillId="0" borderId="111" xfId="0" applyNumberFormat="1" applyBorder="1"/>
    <xf numFmtId="1" fontId="0" fillId="0" borderId="13" xfId="0" applyNumberFormat="1" applyBorder="1" applyAlignment="1">
      <alignment horizontal="right"/>
    </xf>
    <xf numFmtId="174" fontId="0" fillId="0" borderId="112" xfId="0" applyNumberFormat="1" applyBorder="1"/>
    <xf numFmtId="174" fontId="0" fillId="0" borderId="113" xfId="0" applyNumberFormat="1" applyBorder="1"/>
    <xf numFmtId="174" fontId="0" fillId="0" borderId="19" xfId="0" applyNumberFormat="1" applyBorder="1" applyAlignment="1">
      <alignment horizontal="right"/>
    </xf>
    <xf numFmtId="174" fontId="0" fillId="0" borderId="19" xfId="0" applyNumberFormat="1" applyBorder="1"/>
    <xf numFmtId="174" fontId="0" fillId="0" borderId="14" xfId="0" applyNumberFormat="1" applyBorder="1"/>
    <xf numFmtId="174" fontId="0" fillId="0" borderId="16" xfId="0" applyNumberFormat="1" applyFill="1" applyBorder="1" applyAlignment="1">
      <alignment horizontal="right"/>
    </xf>
    <xf numFmtId="174" fontId="0" fillId="0" borderId="16" xfId="0" applyNumberFormat="1" applyBorder="1"/>
    <xf numFmtId="0" fontId="0" fillId="54" borderId="83" xfId="0" applyFill="1" applyBorder="1"/>
    <xf numFmtId="0" fontId="0" fillId="54" borderId="84" xfId="0" applyFill="1" applyBorder="1"/>
    <xf numFmtId="0" fontId="0" fillId="54" borderId="85" xfId="0" applyFill="1" applyBorder="1"/>
    <xf numFmtId="1" fontId="2" fillId="0" borderId="19" xfId="0" applyNumberFormat="1" applyFont="1" applyBorder="1" applyAlignment="1"/>
    <xf numFmtId="1" fontId="0" fillId="0" borderId="14" xfId="0" applyNumberFormat="1" applyBorder="1"/>
    <xf numFmtId="0" fontId="0" fillId="0" borderId="15" xfId="0" applyFill="1" applyBorder="1"/>
    <xf numFmtId="0" fontId="0" fillId="0" borderId="86" xfId="0" applyFill="1" applyBorder="1"/>
    <xf numFmtId="1" fontId="0" fillId="0" borderId="88" xfId="0" applyNumberFormat="1" applyBorder="1"/>
    <xf numFmtId="0" fontId="0" fillId="54" borderId="15" xfId="0" applyFill="1" applyBorder="1"/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32" fillId="11" borderId="32" xfId="0" applyFont="1" applyFill="1" applyBorder="1" applyAlignment="1">
      <alignment horizontal="center"/>
    </xf>
    <xf numFmtId="0" fontId="32" fillId="11" borderId="34" xfId="0" applyFont="1" applyFill="1" applyBorder="1" applyAlignment="1">
      <alignment horizontal="center"/>
    </xf>
    <xf numFmtId="0" fontId="31" fillId="11" borderId="32" xfId="0" applyFont="1" applyFill="1" applyBorder="1" applyAlignment="1">
      <alignment horizontal="center" vertical="top"/>
    </xf>
    <xf numFmtId="0" fontId="31" fillId="11" borderId="33" xfId="0" applyFont="1" applyFill="1" applyBorder="1" applyAlignment="1">
      <alignment horizontal="center" vertical="top"/>
    </xf>
    <xf numFmtId="0" fontId="31" fillId="11" borderId="34" xfId="0" applyFont="1" applyFill="1" applyBorder="1" applyAlignment="1">
      <alignment horizontal="center" vertical="top"/>
    </xf>
    <xf numFmtId="0" fontId="2" fillId="0" borderId="58" xfId="0" applyFont="1" applyBorder="1" applyAlignment="1">
      <alignment horizontal="left"/>
    </xf>
    <xf numFmtId="0" fontId="2" fillId="0" borderId="60" xfId="0" applyFont="1" applyBorder="1" applyAlignment="1">
      <alignment horizontal="left"/>
    </xf>
    <xf numFmtId="0" fontId="31" fillId="3" borderId="40" xfId="0" applyFont="1" applyFill="1" applyBorder="1" applyAlignment="1">
      <alignment horizontal="center"/>
    </xf>
    <xf numFmtId="0" fontId="31" fillId="3" borderId="41" xfId="0" applyFont="1" applyFill="1" applyBorder="1" applyAlignment="1">
      <alignment horizontal="center"/>
    </xf>
    <xf numFmtId="0" fontId="31" fillId="3" borderId="42" xfId="0" applyFont="1" applyFill="1" applyBorder="1" applyAlignment="1">
      <alignment horizontal="center"/>
    </xf>
    <xf numFmtId="0" fontId="32" fillId="2" borderId="50" xfId="0" applyFont="1" applyFill="1" applyBorder="1" applyAlignment="1">
      <alignment horizontal="center"/>
    </xf>
    <xf numFmtId="0" fontId="32" fillId="2" borderId="51" xfId="0" applyFont="1" applyFill="1" applyBorder="1" applyAlignment="1">
      <alignment horizontal="center"/>
    </xf>
    <xf numFmtId="0" fontId="32" fillId="2" borderId="52" xfId="0" applyFont="1" applyFill="1" applyBorder="1" applyAlignment="1">
      <alignment horizontal="center"/>
    </xf>
    <xf numFmtId="0" fontId="32" fillId="2" borderId="56" xfId="0" applyFont="1" applyFill="1" applyBorder="1" applyAlignment="1">
      <alignment horizontal="center"/>
    </xf>
    <xf numFmtId="0" fontId="32" fillId="2" borderId="57" xfId="0" applyFont="1" applyFill="1" applyBorder="1" applyAlignment="1">
      <alignment horizontal="center"/>
    </xf>
    <xf numFmtId="0" fontId="0" fillId="54" borderId="86" xfId="0" applyFill="1" applyBorder="1"/>
    <xf numFmtId="0" fontId="36" fillId="0" borderId="108" xfId="0" applyFont="1" applyBorder="1"/>
    <xf numFmtId="0" fontId="36" fillId="0" borderId="86" xfId="0" applyFont="1" applyBorder="1"/>
    <xf numFmtId="0" fontId="36" fillId="54" borderId="10" xfId="0" applyFont="1" applyFill="1" applyBorder="1"/>
    <xf numFmtId="2" fontId="0" fillId="0" borderId="14" xfId="0" applyNumberFormat="1" applyBorder="1"/>
    <xf numFmtId="2" fontId="0" fillId="0" borderId="23" xfId="0" applyNumberFormat="1" applyBorder="1"/>
    <xf numFmtId="2" fontId="0" fillId="0" borderId="24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174" fontId="36" fillId="0" borderId="109" xfId="0" applyNumberFormat="1" applyFont="1" applyBorder="1"/>
    <xf numFmtId="2" fontId="0" fillId="0" borderId="12" xfId="0" applyNumberFormat="1" applyBorder="1"/>
    <xf numFmtId="2" fontId="0" fillId="0" borderId="16" xfId="0" applyNumberFormat="1" applyBorder="1"/>
    <xf numFmtId="2" fontId="0" fillId="0" borderId="11" xfId="0" applyNumberFormat="1" applyBorder="1"/>
    <xf numFmtId="2" fontId="0" fillId="0" borderId="17" xfId="0" applyNumberFormat="1" applyBorder="1"/>
    <xf numFmtId="174" fontId="36" fillId="0" borderId="87" xfId="0" applyNumberFormat="1" applyFont="1" applyBorder="1"/>
    <xf numFmtId="0" fontId="20" fillId="3" borderId="0" xfId="0" applyFont="1" applyFill="1" applyAlignment="1">
      <alignment horizontal="center"/>
    </xf>
    <xf numFmtId="0" fontId="20" fillId="9" borderId="0" xfId="0" applyFont="1" applyFill="1" applyAlignment="1">
      <alignment horizontal="center"/>
    </xf>
    <xf numFmtId="0" fontId="20" fillId="4" borderId="0" xfId="0" applyFont="1" applyFill="1" applyAlignment="1">
      <alignment horizontal="center"/>
    </xf>
    <xf numFmtId="0" fontId="23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5" fillId="0" borderId="10" xfId="0" applyFont="1" applyBorder="1" applyAlignment="1">
      <alignment horizontal="center" vertical="center" textRotation="90" wrapText="1"/>
    </xf>
    <xf numFmtId="0" fontId="25" fillId="0" borderId="13" xfId="0" applyFont="1" applyBorder="1" applyAlignment="1">
      <alignment horizontal="center" vertical="center" textRotation="90" wrapText="1"/>
    </xf>
    <xf numFmtId="0" fontId="25" fillId="0" borderId="15" xfId="0" applyFont="1" applyBorder="1" applyAlignment="1">
      <alignment horizontal="center" vertical="center" textRotation="90" wrapText="1"/>
    </xf>
    <xf numFmtId="0" fontId="25" fillId="0" borderId="22" xfId="0" applyFont="1" applyBorder="1" applyAlignment="1">
      <alignment horizontal="center" vertical="center" textRotation="90" wrapText="1"/>
    </xf>
    <xf numFmtId="0" fontId="31" fillId="10" borderId="0" xfId="0" applyFont="1" applyFill="1" applyAlignment="1">
      <alignment horizontal="center"/>
    </xf>
    <xf numFmtId="0" fontId="2" fillId="0" borderId="0" xfId="0" applyFont="1" applyAlignment="1">
      <alignment horizontal="left" vertical="top"/>
    </xf>
    <xf numFmtId="0" fontId="6" fillId="3" borderId="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7" fillId="10" borderId="0" xfId="0" applyFont="1" applyFill="1" applyAlignment="1">
      <alignment horizontal="center"/>
    </xf>
    <xf numFmtId="0" fontId="34" fillId="0" borderId="62" xfId="0" applyFont="1" applyFill="1" applyBorder="1" applyAlignment="1">
      <alignment horizontal="center" vertical="center" textRotation="90"/>
    </xf>
    <xf numFmtId="0" fontId="34" fillId="0" borderId="63" xfId="0" applyFont="1" applyFill="1" applyBorder="1" applyAlignment="1">
      <alignment horizontal="center" vertical="center" textRotation="90"/>
    </xf>
    <xf numFmtId="0" fontId="34" fillId="0" borderId="64" xfId="0" applyFont="1" applyFill="1" applyBorder="1" applyAlignment="1">
      <alignment horizontal="center" vertical="center" textRotation="90"/>
    </xf>
    <xf numFmtId="0" fontId="34" fillId="0" borderId="40" xfId="0" applyFont="1" applyFill="1" applyBorder="1" applyAlignment="1">
      <alignment horizontal="center" vertical="center"/>
    </xf>
    <xf numFmtId="0" fontId="34" fillId="0" borderId="41" xfId="0" applyFont="1" applyFill="1" applyBorder="1" applyAlignment="1">
      <alignment horizontal="center" vertical="center"/>
    </xf>
    <xf numFmtId="0" fontId="34" fillId="0" borderId="42" xfId="0" applyFont="1" applyFill="1" applyBorder="1" applyAlignment="1">
      <alignment horizontal="center" vertical="center"/>
    </xf>
    <xf numFmtId="0" fontId="34" fillId="0" borderId="43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44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5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12" fillId="5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8" fillId="5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7" fillId="14" borderId="76" xfId="4" applyFill="1" applyBorder="1" applyAlignment="1">
      <alignment horizontal="center" vertical="center" wrapText="1"/>
    </xf>
    <xf numFmtId="0" fontId="37" fillId="14" borderId="79" xfId="4" applyFill="1" applyBorder="1" applyAlignment="1">
      <alignment horizontal="center" vertical="center" wrapText="1"/>
    </xf>
    <xf numFmtId="0" fontId="39" fillId="14" borderId="72" xfId="0" applyFont="1" applyFill="1" applyBorder="1" applyAlignment="1">
      <alignment horizontal="center" vertical="center" wrapText="1"/>
    </xf>
    <xf numFmtId="0" fontId="39" fillId="14" borderId="77" xfId="0" applyFont="1" applyFill="1" applyBorder="1" applyAlignment="1">
      <alignment horizontal="center" vertical="center" wrapText="1"/>
    </xf>
    <xf numFmtId="0" fontId="37" fillId="14" borderId="73" xfId="4" applyFill="1" applyBorder="1" applyAlignment="1">
      <alignment horizontal="center" vertical="center" wrapText="1"/>
    </xf>
    <xf numFmtId="0" fontId="37" fillId="14" borderId="74" xfId="4" applyFill="1" applyBorder="1" applyAlignment="1">
      <alignment horizontal="center" vertical="center" wrapText="1"/>
    </xf>
    <xf numFmtId="0" fontId="37" fillId="14" borderId="75" xfId="4" applyFill="1" applyBorder="1" applyAlignment="1">
      <alignment horizontal="center" vertical="center" wrapText="1"/>
    </xf>
    <xf numFmtId="0" fontId="63" fillId="54" borderId="10" xfId="0" applyFont="1" applyFill="1" applyBorder="1" applyAlignment="1">
      <alignment horizontal="center" vertical="center" wrapText="1"/>
    </xf>
    <xf numFmtId="0" fontId="63" fillId="54" borderId="13" xfId="0" applyFont="1" applyFill="1" applyBorder="1" applyAlignment="1">
      <alignment horizontal="center" vertical="center" wrapText="1"/>
    </xf>
    <xf numFmtId="0" fontId="63" fillId="54" borderId="12" xfId="4" applyFont="1" applyFill="1" applyBorder="1" applyAlignment="1">
      <alignment horizontal="center" vertical="center" wrapText="1"/>
    </xf>
    <xf numFmtId="0" fontId="63" fillId="54" borderId="11" xfId="4" applyFont="1" applyFill="1" applyBorder="1" applyAlignment="1">
      <alignment horizontal="center" vertical="center" wrapText="1"/>
    </xf>
    <xf numFmtId="0" fontId="63" fillId="54" borderId="14" xfId="4" applyFont="1" applyFill="1" applyBorder="1" applyAlignment="1">
      <alignment horizontal="center" vertical="center" wrapText="1"/>
    </xf>
  </cellXfs>
  <cellStyles count="5">
    <cellStyle name="Collegamento ipertestuale" xfId="4" builtinId="8"/>
    <cellStyle name="Migliaia" xfId="1" builtinId="3"/>
    <cellStyle name="Normale" xfId="0" builtinId="0"/>
    <cellStyle name="Percentuale" xfId="2" builtinId="5"/>
    <cellStyle name="Valuta" xfId="3" builtinId="4"/>
  </cellStyles>
  <dxfs count="3"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 potenza del cogeneratore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Curva di durata dei fabbisogni termici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Calcolo!$L$23:$L$38</c:f>
              <c:numCache>
                <c:formatCode>0</c:formatCode>
                <c:ptCount val="16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5136</c:v>
                </c:pt>
                <c:pt idx="9">
                  <c:v>5475</c:v>
                </c:pt>
                <c:pt idx="10">
                  <c:v>6205</c:v>
                </c:pt>
                <c:pt idx="11">
                  <c:v>6575</c:v>
                </c:pt>
                <c:pt idx="12">
                  <c:v>6935</c:v>
                </c:pt>
                <c:pt idx="13">
                  <c:v>7665</c:v>
                </c:pt>
                <c:pt idx="14">
                  <c:v>8395</c:v>
                </c:pt>
                <c:pt idx="15">
                  <c:v>8760</c:v>
                </c:pt>
              </c:numCache>
            </c:numRef>
          </c:xVal>
          <c:yVal>
            <c:numRef>
              <c:f>Calcolo!$P$23:$P$38</c:f>
              <c:numCache>
                <c:formatCode>0</c:formatCode>
                <c:ptCount val="16"/>
                <c:pt idx="0">
                  <c:v>2859.8194290670071</c:v>
                </c:pt>
                <c:pt idx="1">
                  <c:v>2795.1539222054716</c:v>
                </c:pt>
                <c:pt idx="2">
                  <c:v>2623.5396356468127</c:v>
                </c:pt>
                <c:pt idx="3">
                  <c:v>2528.8218099620299</c:v>
                </c:pt>
                <c:pt idx="4">
                  <c:v>2138.2343240023206</c:v>
                </c:pt>
                <c:pt idx="5">
                  <c:v>2100.2957166492301</c:v>
                </c:pt>
                <c:pt idx="6">
                  <c:v>1558.9730474448565</c:v>
                </c:pt>
                <c:pt idx="7">
                  <c:v>1486.1638666575966</c:v>
                </c:pt>
                <c:pt idx="8">
                  <c:v>1200</c:v>
                </c:pt>
                <c:pt idx="9">
                  <c:v>951.46114983532232</c:v>
                </c:pt>
                <c:pt idx="10">
                  <c:v>726.89753963570286</c:v>
                </c:pt>
                <c:pt idx="11">
                  <c:v>600</c:v>
                </c:pt>
                <c:pt idx="12">
                  <c:v>476.63657151116792</c:v>
                </c:pt>
                <c:pt idx="13">
                  <c:v>476.63657151116792</c:v>
                </c:pt>
                <c:pt idx="14">
                  <c:v>476.63657151116792</c:v>
                </c:pt>
                <c:pt idx="15">
                  <c:v>476.63657151116792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15-4DC3-9530-4F6D4F970EA7}"/>
            </c:ext>
          </c:extLst>
        </c:ser>
        <c:ser>
          <c:idx val="1"/>
          <c:order val="1"/>
          <c:tx>
            <c:v>modulo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Calcolo!$L$23:$L$38</c:f>
              <c:numCache>
                <c:formatCode>0</c:formatCode>
                <c:ptCount val="16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5136</c:v>
                </c:pt>
                <c:pt idx="9">
                  <c:v>5475</c:v>
                </c:pt>
                <c:pt idx="10">
                  <c:v>6205</c:v>
                </c:pt>
                <c:pt idx="11">
                  <c:v>6575</c:v>
                </c:pt>
                <c:pt idx="12">
                  <c:v>6935</c:v>
                </c:pt>
                <c:pt idx="13">
                  <c:v>7665</c:v>
                </c:pt>
                <c:pt idx="14">
                  <c:v>8395</c:v>
                </c:pt>
                <c:pt idx="15">
                  <c:v>8760</c:v>
                </c:pt>
              </c:numCache>
            </c:numRef>
          </c:xVal>
          <c:yVal>
            <c:numRef>
              <c:f>Calcolo!$M$23:$M$38</c:f>
              <c:numCache>
                <c:formatCode>0</c:formatCode>
                <c:ptCount val="16"/>
                <c:pt idx="0">
                  <c:v>1200</c:v>
                </c:pt>
                <c:pt idx="1">
                  <c:v>1200</c:v>
                </c:pt>
                <c:pt idx="2">
                  <c:v>1200</c:v>
                </c:pt>
                <c:pt idx="3">
                  <c:v>1200</c:v>
                </c:pt>
                <c:pt idx="4">
                  <c:v>1200</c:v>
                </c:pt>
                <c:pt idx="5">
                  <c:v>1200</c:v>
                </c:pt>
                <c:pt idx="6">
                  <c:v>1200</c:v>
                </c:pt>
                <c:pt idx="7">
                  <c:v>1200</c:v>
                </c:pt>
                <c:pt idx="8">
                  <c:v>1200</c:v>
                </c:pt>
                <c:pt idx="9">
                  <c:v>951.46114983532232</c:v>
                </c:pt>
                <c:pt idx="10">
                  <c:v>726.89753963570286</c:v>
                </c:pt>
                <c:pt idx="11">
                  <c:v>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15-4DC3-9530-4F6D4F970EA7}"/>
            </c:ext>
          </c:extLst>
        </c:ser>
        <c:ser>
          <c:idx val="2"/>
          <c:order val="2"/>
          <c:tx>
            <c:v>modulo 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Calcolo!$L$23:$L$38</c:f>
              <c:numCache>
                <c:formatCode>0</c:formatCode>
                <c:ptCount val="16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5136</c:v>
                </c:pt>
                <c:pt idx="9">
                  <c:v>5475</c:v>
                </c:pt>
                <c:pt idx="10">
                  <c:v>6205</c:v>
                </c:pt>
                <c:pt idx="11">
                  <c:v>6575</c:v>
                </c:pt>
                <c:pt idx="12">
                  <c:v>6935</c:v>
                </c:pt>
                <c:pt idx="13">
                  <c:v>7665</c:v>
                </c:pt>
                <c:pt idx="14">
                  <c:v>8395</c:v>
                </c:pt>
                <c:pt idx="15">
                  <c:v>8760</c:v>
                </c:pt>
              </c:numCache>
            </c:numRef>
          </c:xVal>
          <c:yVal>
            <c:numRef>
              <c:f>Calcolo!$O$23:$O$38</c:f>
              <c:numCache>
                <c:formatCode>0</c:formatCode>
                <c:ptCount val="16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600</c:v>
                </c:pt>
                <c:pt idx="6">
                  <c:v>600</c:v>
                </c:pt>
                <c:pt idx="7">
                  <c:v>600</c:v>
                </c:pt>
                <c:pt idx="8">
                  <c:v>600</c:v>
                </c:pt>
                <c:pt idx="9">
                  <c:v>600</c:v>
                </c:pt>
                <c:pt idx="10">
                  <c:v>600</c:v>
                </c:pt>
                <c:pt idx="11">
                  <c:v>600</c:v>
                </c:pt>
                <c:pt idx="12">
                  <c:v>476.63657151116792</c:v>
                </c:pt>
                <c:pt idx="13">
                  <c:v>476.63657151116792</c:v>
                </c:pt>
                <c:pt idx="14">
                  <c:v>476.63657151116792</c:v>
                </c:pt>
                <c:pt idx="15">
                  <c:v>476.63657151116792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15-4DC3-9530-4F6D4F970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514272"/>
        <c:axId val="905511360"/>
      </c:scatterChart>
      <c:valAx>
        <c:axId val="905514272"/>
        <c:scaling>
          <c:orientation val="minMax"/>
          <c:max val="87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5511360"/>
        <c:crosses val="autoZero"/>
        <c:crossBetween val="midCat"/>
      </c:valAx>
      <c:valAx>
        <c:axId val="905511360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 termica [kW]</a:t>
                </a:r>
              </a:p>
            </c:rich>
          </c:tx>
          <c:layout>
            <c:manualLayout>
              <c:xMode val="edge"/>
              <c:yMode val="edge"/>
              <c:x val="6.6856092261407324E-3"/>
              <c:y val="0.322141883706844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5514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Grafico riassuntivo fabbisogni energetici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Taratura!$B$159:$B$172</c:f>
              <c:numCache>
                <c:formatCode>General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xVal>
          <c:yVal>
            <c:numRef>
              <c:f>Taratura!$C$159:$C$172</c:f>
              <c:numCache>
                <c:formatCode>General</c:formatCode>
                <c:ptCount val="14"/>
                <c:pt idx="0">
                  <c:v>240.43723485662358</c:v>
                </c:pt>
                <c:pt idx="1">
                  <c:v>240.43723485662358</c:v>
                </c:pt>
                <c:pt idx="2">
                  <c:v>249.51033805876031</c:v>
                </c:pt>
                <c:pt idx="3">
                  <c:v>249.51033805876031</c:v>
                </c:pt>
                <c:pt idx="4">
                  <c:v>272.19309606410212</c:v>
                </c:pt>
                <c:pt idx="5">
                  <c:v>272.19309606410212</c:v>
                </c:pt>
                <c:pt idx="6">
                  <c:v>302.43677340455793</c:v>
                </c:pt>
                <c:pt idx="7">
                  <c:v>302.43677340455793</c:v>
                </c:pt>
                <c:pt idx="8">
                  <c:v>332.68045074501373</c:v>
                </c:pt>
                <c:pt idx="9">
                  <c:v>332.68045074501373</c:v>
                </c:pt>
                <c:pt idx="10">
                  <c:v>355.36320875035557</c:v>
                </c:pt>
                <c:pt idx="11">
                  <c:v>355.36320875035557</c:v>
                </c:pt>
                <c:pt idx="12">
                  <c:v>362.92412808546953</c:v>
                </c:pt>
                <c:pt idx="13">
                  <c:v>362.92412808546953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BA-4764-8CDF-4A39E4F9EFD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Taratura!$B$159:$B$172</c:f>
              <c:numCache>
                <c:formatCode>General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xVal>
          <c:yVal>
            <c:numRef>
              <c:f>Taratura!$D$159:$D$172</c:f>
              <c:numCache>
                <c:formatCode>General</c:formatCode>
                <c:ptCount val="14"/>
                <c:pt idx="0">
                  <c:v>2486.7995035365279</c:v>
                </c:pt>
                <c:pt idx="1">
                  <c:v>2430.568628004758</c:v>
                </c:pt>
                <c:pt idx="2">
                  <c:v>2281.3388136059243</c:v>
                </c:pt>
                <c:pt idx="3">
                  <c:v>2198.9754869235039</c:v>
                </c:pt>
                <c:pt idx="4">
                  <c:v>1859.3341947846268</c:v>
                </c:pt>
                <c:pt idx="5">
                  <c:v>1826.3441014341136</c:v>
                </c:pt>
                <c:pt idx="6">
                  <c:v>1355.628736908571</c:v>
                </c:pt>
                <c:pt idx="7">
                  <c:v>1292.3164057892147</c:v>
                </c:pt>
                <c:pt idx="8">
                  <c:v>827.35752159593255</c:v>
                </c:pt>
                <c:pt idx="9">
                  <c:v>632.08481707452427</c:v>
                </c:pt>
                <c:pt idx="10">
                  <c:v>414.46658392275469</c:v>
                </c:pt>
                <c:pt idx="11">
                  <c:v>414.46658392275469</c:v>
                </c:pt>
                <c:pt idx="12">
                  <c:v>414.46658392275469</c:v>
                </c:pt>
                <c:pt idx="13">
                  <c:v>414.46658392275469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BA-4764-8CDF-4A39E4F9E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6448544"/>
        <c:axId val="1946447712"/>
      </c:scatterChart>
      <c:valAx>
        <c:axId val="1946448544"/>
        <c:scaling>
          <c:orientation val="minMax"/>
          <c:max val="87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447712"/>
        <c:crosses val="autoZero"/>
        <c:crossBetween val="midCat"/>
      </c:valAx>
      <c:valAx>
        <c:axId val="194644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Potenza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448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Cash Flow cumulativo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'Piano economico'!$A$90:$A$115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'Piano economico'!$E$69:$AD$69</c:f>
              <c:numCache>
                <c:formatCode>#,##0_%_);\(#,##0\)_%;#,##0_%_);@_%_)</c:formatCode>
                <c:ptCount val="26"/>
                <c:pt idx="0">
                  <c:v>-2490000</c:v>
                </c:pt>
                <c:pt idx="1">
                  <c:v>-2099341.0305889663</c:v>
                </c:pt>
                <c:pt idx="2">
                  <c:v>-1729129.8751361263</c:v>
                </c:pt>
                <c:pt idx="3">
                  <c:v>-1361504.3655512708</c:v>
                </c:pt>
                <c:pt idx="4">
                  <c:v>-996477.43006374012</c:v>
                </c:pt>
                <c:pt idx="5">
                  <c:v>-634062.06154402066</c:v>
                </c:pt>
                <c:pt idx="6">
                  <c:v>-274271.31782695145</c:v>
                </c:pt>
                <c:pt idx="7">
                  <c:v>82881.677963454102</c:v>
                </c:pt>
                <c:pt idx="8">
                  <c:v>437383.73708756274</c:v>
                </c:pt>
                <c:pt idx="9">
                  <c:v>789221.60486204317</c:v>
                </c:pt>
                <c:pt idx="10">
                  <c:v>1138381.9603301468</c:v>
                </c:pt>
                <c:pt idx="11">
                  <c:v>1484851.4159303424</c:v>
                </c:pt>
                <c:pt idx="12">
                  <c:v>1828616.5171632897</c:v>
                </c:pt>
                <c:pt idx="13">
                  <c:v>2169663.7422571531</c:v>
                </c:pt>
                <c:pt idx="14">
                  <c:v>2507979.5018312368</c:v>
                </c:pt>
                <c:pt idx="15">
                  <c:v>2843550.1385579421</c:v>
                </c:pt>
                <c:pt idx="16">
                  <c:v>3193237.9170366516</c:v>
                </c:pt>
                <c:pt idx="17">
                  <c:v>3540153.0528114373</c:v>
                </c:pt>
                <c:pt idx="18">
                  <c:v>3884281.68266878</c:v>
                </c:pt>
                <c:pt idx="19">
                  <c:v>4225609.8740790924</c:v>
                </c:pt>
                <c:pt idx="20">
                  <c:v>4564123.62485014</c:v>
                </c:pt>
                <c:pt idx="21">
                  <c:v>4899808.8627787251</c:v>
                </c:pt>
                <c:pt idx="22">
                  <c:v>5232651.4453006368</c:v>
                </c:pt>
                <c:pt idx="23">
                  <c:v>5562637.1591388406</c:v>
                </c:pt>
                <c:pt idx="24">
                  <c:v>5889751.7199499179</c:v>
                </c:pt>
                <c:pt idx="25">
                  <c:v>6213980.7719687345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0B-4EAC-BC20-5F7404124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021503"/>
        <c:axId val="505018591"/>
      </c:barChart>
      <c:catAx>
        <c:axId val="505021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5018591"/>
        <c:crosses val="autoZero"/>
        <c:auto val="1"/>
        <c:lblAlgn val="ctr"/>
        <c:lblOffset val="100"/>
        <c:noMultiLvlLbl val="0"/>
      </c:catAx>
      <c:valAx>
        <c:axId val="505018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%_);\(#,##0\)_%;#,##0_%_);@_%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5021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Calcolo!$L$6:$L$19</c:f>
              <c:numCache>
                <c:formatCode>General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xVal>
          <c:yVal>
            <c:numRef>
              <c:f>Calcolo!$M$6:$M$19</c:f>
              <c:numCache>
                <c:formatCode>_-* #,##0.000_-;\-* #,##0.000_-;_-* "-"?_-;_-@_-</c:formatCode>
                <c:ptCount val="14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1.2</c:v>
                </c:pt>
                <c:pt idx="4">
                  <c:v>1.2</c:v>
                </c:pt>
                <c:pt idx="5">
                  <c:v>1.2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  <c:pt idx="9">
                  <c:v>1.2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48-4203-9A56-2BCD3D5B2A4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Calcolo!$L$6:$L$19</c:f>
              <c:numCache>
                <c:formatCode>General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xVal>
          <c:yVal>
            <c:numRef>
              <c:f>Calcolo!$O$6:$O$19</c:f>
              <c:numCache>
                <c:formatCode>_-* #,##0.000_-;\-* #,##0.000_-;_-* "-"?_-;_-@_-</c:formatCode>
                <c:ptCount val="14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  <c:pt idx="5">
                  <c:v>0.6</c:v>
                </c:pt>
                <c:pt idx="6">
                  <c:v>0.6</c:v>
                </c:pt>
                <c:pt idx="7">
                  <c:v>0.6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48-4203-9A56-2BCD3D5B2A4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Calcolo!$L$6:$L$19</c:f>
              <c:numCache>
                <c:formatCode>General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xVal>
          <c:yVal>
            <c:numRef>
              <c:f>Calcolo!$P$6:$P$19</c:f>
              <c:numCache>
                <c:formatCode>_-* #,##0.00\ _€_-;\-* #,##0.00\ _€_-;_-* "-"??\ _€_-;_-@_-</c:formatCode>
                <c:ptCount val="14"/>
                <c:pt idx="0">
                  <c:v>2.8598194290670071</c:v>
                </c:pt>
                <c:pt idx="1">
                  <c:v>2.7951539222054715</c:v>
                </c:pt>
                <c:pt idx="2">
                  <c:v>2.6235396356468126</c:v>
                </c:pt>
                <c:pt idx="3">
                  <c:v>2.5288218099620297</c:v>
                </c:pt>
                <c:pt idx="4">
                  <c:v>2.1382343240023207</c:v>
                </c:pt>
                <c:pt idx="5">
                  <c:v>2.1002957166492302</c:v>
                </c:pt>
                <c:pt idx="6">
                  <c:v>1.5589730474448567</c:v>
                </c:pt>
                <c:pt idx="7">
                  <c:v>1.4861638666575967</c:v>
                </c:pt>
                <c:pt idx="8">
                  <c:v>0.95146114983532237</c:v>
                </c:pt>
                <c:pt idx="9">
                  <c:v>0.72689753963570281</c:v>
                </c:pt>
                <c:pt idx="10">
                  <c:v>0.47663657151116789</c:v>
                </c:pt>
                <c:pt idx="11">
                  <c:v>0.47663657151116789</c:v>
                </c:pt>
                <c:pt idx="12">
                  <c:v>0.47663657151116789</c:v>
                </c:pt>
                <c:pt idx="13">
                  <c:v>0.47663657151116789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48-4203-9A56-2BCD3D5B2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514272"/>
        <c:axId val="905511360"/>
      </c:scatterChart>
      <c:valAx>
        <c:axId val="90551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5511360"/>
        <c:crosses val="autoZero"/>
        <c:crossBetween val="midCat"/>
      </c:valAx>
      <c:valAx>
        <c:axId val="90551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_-;\-* #,##0.000_-;_-* &quot;-&quot;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551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 costo specifico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213778513847807"/>
          <c:y val="9.1446484269762665E-2"/>
          <c:w val="0.84139826202602097"/>
          <c:h val="0.7659588819075779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Calcolo!$C$228:$C$232</c:f>
              <c:numCache>
                <c:formatCode>General</c:formatCode>
                <c:ptCount val="5"/>
                <c:pt idx="0">
                  <c:v>200</c:v>
                </c:pt>
                <c:pt idx="1">
                  <c:v>600</c:v>
                </c:pt>
                <c:pt idx="2">
                  <c:v>2000</c:v>
                </c:pt>
                <c:pt idx="3">
                  <c:v>6000</c:v>
                </c:pt>
                <c:pt idx="4">
                  <c:v>20000</c:v>
                </c:pt>
              </c:numCache>
            </c:numRef>
          </c:xVal>
          <c:yVal>
            <c:numRef>
              <c:f>Calcolo!$E$228:$E$232</c:f>
              <c:numCache>
                <c:formatCode>0</c:formatCode>
                <c:ptCount val="5"/>
                <c:pt idx="0">
                  <c:v>9500</c:v>
                </c:pt>
                <c:pt idx="1">
                  <c:v>8300</c:v>
                </c:pt>
                <c:pt idx="2">
                  <c:v>6600</c:v>
                </c:pt>
                <c:pt idx="3">
                  <c:v>5200</c:v>
                </c:pt>
                <c:pt idx="4">
                  <c:v>3500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9F-4A0E-BF88-0177083AA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120143"/>
        <c:axId val="1385113071"/>
      </c:scatterChart>
      <c:valAx>
        <c:axId val="1385120143"/>
        <c:scaling>
          <c:orientation val="minMax"/>
          <c:max val="2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Taglia [kW]</a:t>
                </a:r>
              </a:p>
            </c:rich>
          </c:tx>
          <c:layout>
            <c:manualLayout>
              <c:xMode val="edge"/>
              <c:yMode val="edge"/>
              <c:x val="0.47855062716408076"/>
              <c:y val="0.93167819045671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5113071"/>
        <c:crosses val="autoZero"/>
        <c:crossBetween val="midCat"/>
      </c:valAx>
      <c:valAx>
        <c:axId val="1385113071"/>
        <c:scaling>
          <c:orientation val="minMax"/>
          <c:max val="11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Costo specifico [€/kW]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5120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Taratura!$C$219:$N$219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Taratura!$C$222:$N$222</c:f>
              <c:numCache>
                <c:formatCode>0.0</c:formatCode>
                <c:ptCount val="12"/>
                <c:pt idx="0">
                  <c:v>-1.5115863141524106</c:v>
                </c:pt>
                <c:pt idx="1">
                  <c:v>-0.21539657853810246</c:v>
                </c:pt>
                <c:pt idx="2">
                  <c:v>3.7366251944012445</c:v>
                </c:pt>
                <c:pt idx="3">
                  <c:v>7.8251944012441683</c:v>
                </c:pt>
                <c:pt idx="4">
                  <c:v>12.413685847589425</c:v>
                </c:pt>
                <c:pt idx="5">
                  <c:v>16.054121306376359</c:v>
                </c:pt>
                <c:pt idx="6">
                  <c:v>18.588724727838258</c:v>
                </c:pt>
                <c:pt idx="7">
                  <c:v>17.365629860031106</c:v>
                </c:pt>
                <c:pt idx="8">
                  <c:v>14.109797822706065</c:v>
                </c:pt>
                <c:pt idx="9">
                  <c:v>8.3751166407465014</c:v>
                </c:pt>
                <c:pt idx="10">
                  <c:v>3.4500777604976669</c:v>
                </c:pt>
                <c:pt idx="11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0F-4FF4-BEB0-E4E3D1B8D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4555423"/>
        <c:axId val="2014563327"/>
      </c:lineChart>
      <c:catAx>
        <c:axId val="201455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4563327"/>
        <c:crosses val="autoZero"/>
        <c:auto val="1"/>
        <c:lblAlgn val="ctr"/>
        <c:lblOffset val="100"/>
        <c:noMultiLvlLbl val="0"/>
      </c:catAx>
      <c:valAx>
        <c:axId val="2014563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4555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Taratura!$H$63:$H$76</c:f>
              <c:numCache>
                <c:formatCode>0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xVal>
          <c:yVal>
            <c:numRef>
              <c:f>Taratura!$K$63:$K$76</c:f>
              <c:numCache>
                <c:formatCode>0.0</c:formatCode>
                <c:ptCount val="14"/>
                <c:pt idx="0">
                  <c:v>18</c:v>
                </c:pt>
                <c:pt idx="1">
                  <c:v>17.51158631415241</c:v>
                </c:pt>
                <c:pt idx="2">
                  <c:v>16.215396578538101</c:v>
                </c:pt>
                <c:pt idx="3">
                  <c:v>15.5</c:v>
                </c:pt>
                <c:pt idx="4">
                  <c:v>12.549922239502333</c:v>
                </c:pt>
                <c:pt idx="5">
                  <c:v>12.263374805598755</c:v>
                </c:pt>
                <c:pt idx="6">
                  <c:v>8.1748055987558317</c:v>
                </c:pt>
                <c:pt idx="7">
                  <c:v>7.6248833592534986</c:v>
                </c:pt>
                <c:pt idx="8">
                  <c:v>3.5863141524105746</c:v>
                </c:pt>
                <c:pt idx="9">
                  <c:v>1.8902021772939346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24-4F19-95D3-C3355AC7D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676383"/>
        <c:axId val="2044683039"/>
      </c:scatterChart>
      <c:valAx>
        <c:axId val="2044676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4683039"/>
        <c:crosses val="autoZero"/>
        <c:crossBetween val="midCat"/>
      </c:valAx>
      <c:valAx>
        <c:axId val="204468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46763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 durata del fabbisogno termico</a:t>
            </a:r>
            <a:r>
              <a:rPr lang="it-IT" baseline="0"/>
              <a:t> totale</a:t>
            </a:r>
            <a:r>
              <a:rPr lang="it-IT"/>
              <a:t> normalizzata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Taratura!$B$109:$B$122</c:f>
              <c:numCache>
                <c:formatCode>General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xVal>
          <c:yVal>
            <c:numRef>
              <c:f>Taratura!$C$109:$C$122</c:f>
              <c:numCache>
                <c:formatCode>General</c:formatCode>
                <c:ptCount val="14"/>
                <c:pt idx="0">
                  <c:v>1</c:v>
                </c:pt>
                <c:pt idx="1">
                  <c:v>0.97738825528483386</c:v>
                </c:pt>
                <c:pt idx="2">
                  <c:v>0.91737947122861585</c:v>
                </c:pt>
                <c:pt idx="3">
                  <c:v>0.8842592592592593</c:v>
                </c:pt>
                <c:pt idx="4">
                  <c:v>0.74768158516214511</c:v>
                </c:pt>
                <c:pt idx="5">
                  <c:v>0.73441550025920166</c:v>
                </c:pt>
                <c:pt idx="6">
                  <c:v>0.54512988883128854</c:v>
                </c:pt>
                <c:pt idx="7">
                  <c:v>0.51967052589136575</c:v>
                </c:pt>
                <c:pt idx="8">
                  <c:v>0.33269972927826735</c:v>
                </c:pt>
                <c:pt idx="9">
                  <c:v>0.25417602672657108</c:v>
                </c:pt>
                <c:pt idx="10">
                  <c:v>0.16666666666666669</c:v>
                </c:pt>
                <c:pt idx="11">
                  <c:v>0.16666666666666669</c:v>
                </c:pt>
                <c:pt idx="12">
                  <c:v>0.16666666666666669</c:v>
                </c:pt>
                <c:pt idx="13">
                  <c:v>0.16666666666666669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89-46C2-B3E2-7C1FFD3ED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26751"/>
        <c:axId val="127830911"/>
      </c:scatterChart>
      <c:valAx>
        <c:axId val="127826751"/>
        <c:scaling>
          <c:orientation val="minMax"/>
          <c:max val="87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830911"/>
        <c:crosses val="autoZero"/>
        <c:crossBetween val="midCat"/>
      </c:valAx>
      <c:valAx>
        <c:axId val="1278309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fabbisogno normalizzato</a:t>
                </a:r>
              </a:p>
            </c:rich>
          </c:tx>
          <c:layout>
            <c:manualLayout>
              <c:xMode val="edge"/>
              <c:yMode val="edge"/>
              <c:x val="1.0921799912625601E-2"/>
              <c:y val="0.308031389369011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8267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Taratura!$B$109:$B$122</c:f>
              <c:numCache>
                <c:formatCode>General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xVal>
          <c:yVal>
            <c:numRef>
              <c:f>Taratura!$F$109:$F$122</c:f>
              <c:numCache>
                <c:formatCode>General</c:formatCode>
                <c:ptCount val="14"/>
                <c:pt idx="0">
                  <c:v>2.486799503536528</c:v>
                </c:pt>
                <c:pt idx="1">
                  <c:v>2.430568628004758</c:v>
                </c:pt>
                <c:pt idx="2">
                  <c:v>2.2813388136059243</c:v>
                </c:pt>
                <c:pt idx="3">
                  <c:v>2.1989754869235041</c:v>
                </c:pt>
                <c:pt idx="4">
                  <c:v>1.8593341947846267</c:v>
                </c:pt>
                <c:pt idx="5">
                  <c:v>1.8263441014341135</c:v>
                </c:pt>
                <c:pt idx="6">
                  <c:v>1.3556287369085711</c:v>
                </c:pt>
                <c:pt idx="7">
                  <c:v>1.2923164057892147</c:v>
                </c:pt>
                <c:pt idx="8">
                  <c:v>0.82735752159593257</c:v>
                </c:pt>
                <c:pt idx="9">
                  <c:v>0.63208481707452424</c:v>
                </c:pt>
                <c:pt idx="10">
                  <c:v>0.41446658392275471</c:v>
                </c:pt>
                <c:pt idx="11">
                  <c:v>0.41446658392275471</c:v>
                </c:pt>
                <c:pt idx="12">
                  <c:v>0.41446658392275471</c:v>
                </c:pt>
                <c:pt idx="13">
                  <c:v>0.41446658392275471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69-4887-9549-199F9B12C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616575"/>
        <c:axId val="2014611999"/>
      </c:scatterChart>
      <c:valAx>
        <c:axId val="2014616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4611999"/>
        <c:crosses val="autoZero"/>
        <c:crossBetween val="midCat"/>
      </c:valAx>
      <c:valAx>
        <c:axId val="201461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4616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dei carichi elettrici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Taratura!$B$141:$B$152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Taratura!$F$141:$F$152</c:f>
              <c:numCache>
                <c:formatCode>General</c:formatCode>
                <c:ptCount val="12"/>
                <c:pt idx="0">
                  <c:v>249.51033805876031</c:v>
                </c:pt>
                <c:pt idx="1">
                  <c:v>240.43723485662358</c:v>
                </c:pt>
                <c:pt idx="2">
                  <c:v>249.51033805876031</c:v>
                </c:pt>
                <c:pt idx="3">
                  <c:v>272.19309606410212</c:v>
                </c:pt>
                <c:pt idx="4">
                  <c:v>302.43677340455793</c:v>
                </c:pt>
                <c:pt idx="5">
                  <c:v>332.68045074501373</c:v>
                </c:pt>
                <c:pt idx="6">
                  <c:v>355.36320875035557</c:v>
                </c:pt>
                <c:pt idx="7">
                  <c:v>362.92412808546953</c:v>
                </c:pt>
                <c:pt idx="8">
                  <c:v>355.36320875035557</c:v>
                </c:pt>
                <c:pt idx="9">
                  <c:v>332.68045074501373</c:v>
                </c:pt>
                <c:pt idx="10">
                  <c:v>302.43677340455793</c:v>
                </c:pt>
                <c:pt idx="11">
                  <c:v>272.19309606410212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38-493B-BD2E-D6723B0F7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3642160"/>
        <c:axId val="2013641328"/>
      </c:lineChart>
      <c:catAx>
        <c:axId val="2013642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Mese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3641328"/>
        <c:crosses val="autoZero"/>
        <c:auto val="1"/>
        <c:lblAlgn val="ctr"/>
        <c:lblOffset val="100"/>
        <c:noMultiLvlLbl val="0"/>
      </c:catAx>
      <c:valAx>
        <c:axId val="201364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Carico medio mensile [kW]</a:t>
                </a:r>
              </a:p>
            </c:rich>
          </c:tx>
          <c:layout>
            <c:manualLayout>
              <c:xMode val="edge"/>
              <c:yMode val="edge"/>
              <c:x val="1.2165450121654502E-2"/>
              <c:y val="0.237302043705211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3642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Taratura!$B$159:$B$172</c:f>
              <c:numCache>
                <c:formatCode>General</c:formatCode>
                <c:ptCount val="14"/>
                <c:pt idx="0">
                  <c:v>0</c:v>
                </c:pt>
                <c:pt idx="1">
                  <c:v>365</c:v>
                </c:pt>
                <c:pt idx="2">
                  <c:v>1095</c:v>
                </c:pt>
                <c:pt idx="3">
                  <c:v>1825</c:v>
                </c:pt>
                <c:pt idx="4">
                  <c:v>2555</c:v>
                </c:pt>
                <c:pt idx="5">
                  <c:v>3285</c:v>
                </c:pt>
                <c:pt idx="6">
                  <c:v>4015</c:v>
                </c:pt>
                <c:pt idx="7">
                  <c:v>4745</c:v>
                </c:pt>
                <c:pt idx="8">
                  <c:v>5475</c:v>
                </c:pt>
                <c:pt idx="9">
                  <c:v>6205</c:v>
                </c:pt>
                <c:pt idx="10">
                  <c:v>6935</c:v>
                </c:pt>
                <c:pt idx="11">
                  <c:v>7665</c:v>
                </c:pt>
                <c:pt idx="12">
                  <c:v>8395</c:v>
                </c:pt>
                <c:pt idx="13">
                  <c:v>8760</c:v>
                </c:pt>
              </c:numCache>
            </c:numRef>
          </c:cat>
          <c:val>
            <c:numRef>
              <c:f>Taratura!$C$159:$C$172</c:f>
              <c:numCache>
                <c:formatCode>General</c:formatCode>
                <c:ptCount val="14"/>
                <c:pt idx="0">
                  <c:v>240.43723485662358</c:v>
                </c:pt>
                <c:pt idx="1">
                  <c:v>240.43723485662358</c:v>
                </c:pt>
                <c:pt idx="2">
                  <c:v>249.51033805876031</c:v>
                </c:pt>
                <c:pt idx="3">
                  <c:v>249.51033805876031</c:v>
                </c:pt>
                <c:pt idx="4">
                  <c:v>272.19309606410212</c:v>
                </c:pt>
                <c:pt idx="5">
                  <c:v>272.19309606410212</c:v>
                </c:pt>
                <c:pt idx="6">
                  <c:v>302.43677340455793</c:v>
                </c:pt>
                <c:pt idx="7">
                  <c:v>302.43677340455793</c:v>
                </c:pt>
                <c:pt idx="8">
                  <c:v>332.68045074501373</c:v>
                </c:pt>
                <c:pt idx="9">
                  <c:v>332.68045074501373</c:v>
                </c:pt>
                <c:pt idx="10">
                  <c:v>355.36320875035557</c:v>
                </c:pt>
                <c:pt idx="11">
                  <c:v>355.36320875035557</c:v>
                </c:pt>
                <c:pt idx="12">
                  <c:v>362.92412808546953</c:v>
                </c:pt>
                <c:pt idx="13">
                  <c:v>362.92412808546953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3E-41D6-B973-C4C76AC5B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427744"/>
        <c:axId val="1946436480"/>
      </c:lineChart>
      <c:catAx>
        <c:axId val="194642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436480"/>
        <c:crosses val="autoZero"/>
        <c:auto val="1"/>
        <c:lblAlgn val="ctr"/>
        <c:lblOffset val="100"/>
        <c:noMultiLvlLbl val="0"/>
      </c:catAx>
      <c:valAx>
        <c:axId val="194643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42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231321</xdr:colOff>
      <xdr:row>66</xdr:row>
      <xdr:rowOff>38514</xdr:rowOff>
    </xdr:from>
    <xdr:to>
      <xdr:col>4</xdr:col>
      <xdr:colOff>1283607</xdr:colOff>
      <xdr:row>70</xdr:row>
      <xdr:rowOff>89995</xdr:rowOff>
    </xdr:to>
    <xdr:sp macro="" textlink="">
      <xdr:nvSpPr>
        <xdr:cNvPr id="4" name="Freccia a destra 3">
          <a:extLst>
            <a:ext uri="{FF2B5EF4-FFF2-40B4-BE49-F238E27FC236}">
              <a16:creationId xmlns:a16="http://schemas.microsoft.com/office/drawing/2014/main" id="{38635AEA-76E5-45C4-8022-27F7C5AAFAD1}"/>
            </a:ext>
          </a:extLst>
        </xdr:cNvPr>
        <xdr:cNvSpPr/>
      </xdr:nvSpPr>
      <xdr:spPr>
        <a:xfrm>
          <a:off x="5095421" y="12332114"/>
          <a:ext cx="1052286" cy="1003981"/>
        </a:xfrm>
        <a:prstGeom prst="righ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cippato</a:t>
          </a:r>
        </a:p>
      </xdr:txBody>
    </xdr:sp>
    <xdr:clientData/>
  </xdr:twoCellAnchor>
  <xdr:twoCellAnchor>
    <xdr:from>
      <xdr:col>6</xdr:col>
      <xdr:colOff>1510</xdr:colOff>
      <xdr:row>62</xdr:row>
      <xdr:rowOff>0</xdr:rowOff>
    </xdr:from>
    <xdr:to>
      <xdr:col>10</xdr:col>
      <xdr:colOff>965200</xdr:colOff>
      <xdr:row>72</xdr:row>
      <xdr:rowOff>0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38E4BC38-E714-47D2-8F49-9DA4E3207293}"/>
            </a:ext>
          </a:extLst>
        </xdr:cNvPr>
        <xdr:cNvSpPr/>
      </xdr:nvSpPr>
      <xdr:spPr>
        <a:xfrm>
          <a:off x="7189710" y="11531600"/>
          <a:ext cx="5649990" cy="2044700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cap="all"/>
            <a:t>Cogeneratore A CIPPATO</a:t>
          </a:r>
          <a:endParaRPr lang="it-IT" sz="1100" cap="all" baseline="0"/>
        </a:p>
      </xdr:txBody>
    </xdr:sp>
    <xdr:clientData/>
  </xdr:twoCellAnchor>
  <xdr:twoCellAnchor>
    <xdr:from>
      <xdr:col>11</xdr:col>
      <xdr:colOff>27404</xdr:colOff>
      <xdr:row>63</xdr:row>
      <xdr:rowOff>120575</xdr:rowOff>
    </xdr:from>
    <xdr:to>
      <xdr:col>14</xdr:col>
      <xdr:colOff>489857</xdr:colOff>
      <xdr:row>66</xdr:row>
      <xdr:rowOff>244929</xdr:rowOff>
    </xdr:to>
    <xdr:sp macro="" textlink="">
      <xdr:nvSpPr>
        <xdr:cNvPr id="6" name="Freccia a destra 5">
          <a:extLst>
            <a:ext uri="{FF2B5EF4-FFF2-40B4-BE49-F238E27FC236}">
              <a16:creationId xmlns:a16="http://schemas.microsoft.com/office/drawing/2014/main" id="{21B3514A-513D-4B6E-8164-2FCF8D54BBF8}"/>
            </a:ext>
          </a:extLst>
        </xdr:cNvPr>
        <xdr:cNvSpPr/>
      </xdr:nvSpPr>
      <xdr:spPr>
        <a:xfrm>
          <a:off x="13108404" y="11855375"/>
          <a:ext cx="2684953" cy="68315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energia elettrica</a:t>
          </a:r>
        </a:p>
      </xdr:txBody>
    </xdr:sp>
    <xdr:clientData/>
  </xdr:twoCellAnchor>
  <xdr:twoCellAnchor>
    <xdr:from>
      <xdr:col>11</xdr:col>
      <xdr:colOff>31750</xdr:colOff>
      <xdr:row>67</xdr:row>
      <xdr:rowOff>116417</xdr:rowOff>
    </xdr:from>
    <xdr:to>
      <xdr:col>14</xdr:col>
      <xdr:colOff>465665</xdr:colOff>
      <xdr:row>70</xdr:row>
      <xdr:rowOff>96738</xdr:rowOff>
    </xdr:to>
    <xdr:sp macro="" textlink="">
      <xdr:nvSpPr>
        <xdr:cNvPr id="7" name="Freccia a destra 6">
          <a:extLst>
            <a:ext uri="{FF2B5EF4-FFF2-40B4-BE49-F238E27FC236}">
              <a16:creationId xmlns:a16="http://schemas.microsoft.com/office/drawing/2014/main" id="{91056610-2900-4750-8894-A3F22E078F68}"/>
            </a:ext>
          </a:extLst>
        </xdr:cNvPr>
        <xdr:cNvSpPr/>
      </xdr:nvSpPr>
      <xdr:spPr>
        <a:xfrm>
          <a:off x="13112750" y="12702117"/>
          <a:ext cx="2656415" cy="64072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calore utile</a:t>
          </a:r>
        </a:p>
      </xdr:txBody>
    </xdr:sp>
    <xdr:clientData/>
  </xdr:twoCellAnchor>
  <xdr:twoCellAnchor editAs="oneCell">
    <xdr:from>
      <xdr:col>16</xdr:col>
      <xdr:colOff>199084</xdr:colOff>
      <xdr:row>61</xdr:row>
      <xdr:rowOff>58090</xdr:rowOff>
    </xdr:from>
    <xdr:to>
      <xdr:col>17</xdr:col>
      <xdr:colOff>1389861</xdr:colOff>
      <xdr:row>65</xdr:row>
      <xdr:rowOff>134985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D3106709-CD02-4427-9E7A-1CDA50972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98284" y="11411890"/>
          <a:ext cx="2007387" cy="784285"/>
        </a:xfrm>
        <a:prstGeom prst="rect">
          <a:avLst/>
        </a:prstGeom>
      </xdr:spPr>
    </xdr:pic>
    <xdr:clientData/>
  </xdr:twoCellAnchor>
  <xdr:twoCellAnchor editAs="oneCell">
    <xdr:from>
      <xdr:col>7</xdr:col>
      <xdr:colOff>909109</xdr:colOff>
      <xdr:row>75</xdr:row>
      <xdr:rowOff>109366</xdr:rowOff>
    </xdr:from>
    <xdr:to>
      <xdr:col>9</xdr:col>
      <xdr:colOff>820661</xdr:colOff>
      <xdr:row>80</xdr:row>
      <xdr:rowOff>98659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2B42E5DB-F068-4ADC-BD36-94B04C98B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84709" y="14346066"/>
          <a:ext cx="1946727" cy="907503"/>
        </a:xfrm>
        <a:prstGeom prst="rect">
          <a:avLst/>
        </a:prstGeom>
      </xdr:spPr>
    </xdr:pic>
    <xdr:clientData/>
  </xdr:twoCellAnchor>
  <xdr:twoCellAnchor>
    <xdr:from>
      <xdr:col>16</xdr:col>
      <xdr:colOff>150814</xdr:colOff>
      <xdr:row>67</xdr:row>
      <xdr:rowOff>160072</xdr:rowOff>
    </xdr:from>
    <xdr:to>
      <xdr:col>18</xdr:col>
      <xdr:colOff>869157</xdr:colOff>
      <xdr:row>70</xdr:row>
      <xdr:rowOff>140393</xdr:rowOff>
    </xdr:to>
    <xdr:sp macro="" textlink="">
      <xdr:nvSpPr>
        <xdr:cNvPr id="10" name="Freccia a destra 9">
          <a:extLst>
            <a:ext uri="{FF2B5EF4-FFF2-40B4-BE49-F238E27FC236}">
              <a16:creationId xmlns:a16="http://schemas.microsoft.com/office/drawing/2014/main" id="{21783483-301A-4C03-8170-DEE70FED0942}"/>
            </a:ext>
          </a:extLst>
        </xdr:cNvPr>
        <xdr:cNvSpPr/>
      </xdr:nvSpPr>
      <xdr:spPr>
        <a:xfrm>
          <a:off x="19150014" y="12694972"/>
          <a:ext cx="3042443" cy="62802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Rete di Teleriscaldamento</a:t>
          </a:r>
        </a:p>
      </xdr:txBody>
    </xdr:sp>
    <xdr:clientData/>
  </xdr:twoCellAnchor>
  <xdr:twoCellAnchor>
    <xdr:from>
      <xdr:col>1</xdr:col>
      <xdr:colOff>501650</xdr:colOff>
      <xdr:row>22</xdr:row>
      <xdr:rowOff>40640</xdr:rowOff>
    </xdr:from>
    <xdr:to>
      <xdr:col>5</xdr:col>
      <xdr:colOff>1569720</xdr:colOff>
      <xdr:row>50</xdr:row>
      <xdr:rowOff>152400</xdr:rowOff>
    </xdr:to>
    <xdr:graphicFrame macro="">
      <xdr:nvGraphicFramePr>
        <xdr:cNvPr id="24" name="Grafico 23">
          <a:extLst>
            <a:ext uri="{FF2B5EF4-FFF2-40B4-BE49-F238E27FC236}">
              <a16:creationId xmlns:a16="http://schemas.microsoft.com/office/drawing/2014/main" id="{446C3FDF-FC73-21EA-E66F-A2BA8F9B92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15240</xdr:colOff>
      <xdr:row>114</xdr:row>
      <xdr:rowOff>171450</xdr:rowOff>
    </xdr:from>
    <xdr:to>
      <xdr:col>13</xdr:col>
      <xdr:colOff>605790</xdr:colOff>
      <xdr:row>138</xdr:row>
      <xdr:rowOff>41910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3566F3C-8638-4B36-A6F2-3E90A0EC8E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1933574</xdr:colOff>
      <xdr:row>220</xdr:row>
      <xdr:rowOff>104774</xdr:rowOff>
    </xdr:from>
    <xdr:to>
      <xdr:col>11</xdr:col>
      <xdr:colOff>609600</xdr:colOff>
      <xdr:row>248</xdr:row>
      <xdr:rowOff>76200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CC30301C-AE13-BD2C-1B24-7CB9249E82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106680</xdr:rowOff>
    </xdr:from>
    <xdr:to>
      <xdr:col>6</xdr:col>
      <xdr:colOff>731520</xdr:colOff>
      <xdr:row>88</xdr:row>
      <xdr:rowOff>121920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7B6631B6-5725-6597-E533-A25AF87EA4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60960</xdr:colOff>
      <xdr:row>62</xdr:row>
      <xdr:rowOff>60960</xdr:rowOff>
    </xdr:from>
    <xdr:to>
      <xdr:col>19</xdr:col>
      <xdr:colOff>0</xdr:colOff>
      <xdr:row>90</xdr:row>
      <xdr:rowOff>60960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78249196-BCD9-7E90-8805-AC82CDEA99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105</xdr:row>
      <xdr:rowOff>15240</xdr:rowOff>
    </xdr:from>
    <xdr:to>
      <xdr:col>10</xdr:col>
      <xdr:colOff>1402080</xdr:colOff>
      <xdr:row>125</xdr:row>
      <xdr:rowOff>83820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DE72F4A3-654C-B81E-684D-D983B619C5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15240</xdr:colOff>
      <xdr:row>104</xdr:row>
      <xdr:rowOff>167640</xdr:rowOff>
    </xdr:from>
    <xdr:to>
      <xdr:col>18</xdr:col>
      <xdr:colOff>960120</xdr:colOff>
      <xdr:row>131</xdr:row>
      <xdr:rowOff>15240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3D2115E8-3ABF-99CB-F602-0EA6C57E08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45720</xdr:colOff>
      <xdr:row>138</xdr:row>
      <xdr:rowOff>167640</xdr:rowOff>
    </xdr:from>
    <xdr:to>
      <xdr:col>13</xdr:col>
      <xdr:colOff>198120</xdr:colOff>
      <xdr:row>160</xdr:row>
      <xdr:rowOff>167640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39C6B7B-00A3-C39B-38CA-613B37886A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15240</xdr:colOff>
      <xdr:row>162</xdr:row>
      <xdr:rowOff>152400</xdr:rowOff>
    </xdr:from>
    <xdr:to>
      <xdr:col>14</xdr:col>
      <xdr:colOff>883920</xdr:colOff>
      <xdr:row>186</xdr:row>
      <xdr:rowOff>30480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28EDEA4-A80D-E90C-2472-3D8EA704FE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30480</xdr:colOff>
      <xdr:row>187</xdr:row>
      <xdr:rowOff>60960</xdr:rowOff>
    </xdr:from>
    <xdr:to>
      <xdr:col>13</xdr:col>
      <xdr:colOff>144780</xdr:colOff>
      <xdr:row>210</xdr:row>
      <xdr:rowOff>38100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B3B57E6-C2CE-F081-DFEC-1EFBB480ED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217714</xdr:colOff>
      <xdr:row>89</xdr:row>
      <xdr:rowOff>16328</xdr:rowOff>
    </xdr:from>
    <xdr:to>
      <xdr:col>5</xdr:col>
      <xdr:colOff>21771</xdr:colOff>
      <xdr:row>110</xdr:row>
      <xdr:rowOff>130627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79EEB9A-A291-FE30-8D9A-148D390902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it.wikipedia.org/wiki/Ottobre" TargetMode="External"/><Relationship Id="rId18" Type="http://schemas.openxmlformats.org/officeDocument/2006/relationships/hyperlink" Target="https://it.wikipedia.org/wiki/Estate" TargetMode="External"/><Relationship Id="rId26" Type="http://schemas.openxmlformats.org/officeDocument/2006/relationships/hyperlink" Target="https://it.wikipedia.org/wiki/Aprile" TargetMode="External"/><Relationship Id="rId39" Type="http://schemas.openxmlformats.org/officeDocument/2006/relationships/hyperlink" Target="https://it.wikipedia.org/wiki/Mese" TargetMode="External"/><Relationship Id="rId21" Type="http://schemas.openxmlformats.org/officeDocument/2006/relationships/hyperlink" Target="https://it.wikipedia.org/wiki/Stagione" TargetMode="External"/><Relationship Id="rId34" Type="http://schemas.openxmlformats.org/officeDocument/2006/relationships/hyperlink" Target="https://it.wikipedia.org/wiki/Dicembre" TargetMode="External"/><Relationship Id="rId42" Type="http://schemas.openxmlformats.org/officeDocument/2006/relationships/hyperlink" Target="https://it.wikipedia.org/wiki/Febbraio" TargetMode="External"/><Relationship Id="rId47" Type="http://schemas.openxmlformats.org/officeDocument/2006/relationships/hyperlink" Target="https://it.wikipedia.org/wiki/Luglio" TargetMode="External"/><Relationship Id="rId50" Type="http://schemas.openxmlformats.org/officeDocument/2006/relationships/hyperlink" Target="https://it.wikipedia.org/wiki/Ottobre" TargetMode="External"/><Relationship Id="rId7" Type="http://schemas.openxmlformats.org/officeDocument/2006/relationships/hyperlink" Target="https://it.wikipedia.org/wiki/Aprile" TargetMode="External"/><Relationship Id="rId2" Type="http://schemas.openxmlformats.org/officeDocument/2006/relationships/hyperlink" Target="https://it.wikipedia.org/wiki/Stagione" TargetMode="External"/><Relationship Id="rId16" Type="http://schemas.openxmlformats.org/officeDocument/2006/relationships/hyperlink" Target="https://it.wikipedia.org/wiki/Inverno" TargetMode="External"/><Relationship Id="rId29" Type="http://schemas.openxmlformats.org/officeDocument/2006/relationships/hyperlink" Target="https://it.wikipedia.org/wiki/Luglio" TargetMode="External"/><Relationship Id="rId11" Type="http://schemas.openxmlformats.org/officeDocument/2006/relationships/hyperlink" Target="https://it.wikipedia.org/wiki/Agosto" TargetMode="External"/><Relationship Id="rId24" Type="http://schemas.openxmlformats.org/officeDocument/2006/relationships/hyperlink" Target="https://it.wikipedia.org/wiki/Febbraio" TargetMode="External"/><Relationship Id="rId32" Type="http://schemas.openxmlformats.org/officeDocument/2006/relationships/hyperlink" Target="https://it.wikipedia.org/wiki/Ottobre" TargetMode="External"/><Relationship Id="rId37" Type="http://schemas.openxmlformats.org/officeDocument/2006/relationships/hyperlink" Target="https://it.wikipedia.org/wiki/Estate" TargetMode="External"/><Relationship Id="rId40" Type="http://schemas.openxmlformats.org/officeDocument/2006/relationships/hyperlink" Target="https://it.wikipedia.org/wiki/Anno" TargetMode="External"/><Relationship Id="rId45" Type="http://schemas.openxmlformats.org/officeDocument/2006/relationships/hyperlink" Target="https://it.wikipedia.org/wiki/Maggio" TargetMode="External"/><Relationship Id="rId53" Type="http://schemas.openxmlformats.org/officeDocument/2006/relationships/printerSettings" Target="../printerSettings/printerSettings2.bin"/><Relationship Id="rId5" Type="http://schemas.openxmlformats.org/officeDocument/2006/relationships/hyperlink" Target="https://it.wikipedia.org/wiki/Febbraio" TargetMode="External"/><Relationship Id="rId10" Type="http://schemas.openxmlformats.org/officeDocument/2006/relationships/hyperlink" Target="https://it.wikipedia.org/wiki/Luglio" TargetMode="External"/><Relationship Id="rId19" Type="http://schemas.openxmlformats.org/officeDocument/2006/relationships/hyperlink" Target="https://it.wikipedia.org/wiki/Autunno" TargetMode="External"/><Relationship Id="rId31" Type="http://schemas.openxmlformats.org/officeDocument/2006/relationships/hyperlink" Target="https://it.wikipedia.org/wiki/Settembre" TargetMode="External"/><Relationship Id="rId44" Type="http://schemas.openxmlformats.org/officeDocument/2006/relationships/hyperlink" Target="https://it.wikipedia.org/wiki/Aprile" TargetMode="External"/><Relationship Id="rId52" Type="http://schemas.openxmlformats.org/officeDocument/2006/relationships/hyperlink" Target="https://it.wikipedia.org/wiki/Dicembre" TargetMode="External"/><Relationship Id="rId4" Type="http://schemas.openxmlformats.org/officeDocument/2006/relationships/hyperlink" Target="https://it.wikipedia.org/wiki/Gennaio" TargetMode="External"/><Relationship Id="rId9" Type="http://schemas.openxmlformats.org/officeDocument/2006/relationships/hyperlink" Target="https://it.wikipedia.org/wiki/Giugno" TargetMode="External"/><Relationship Id="rId14" Type="http://schemas.openxmlformats.org/officeDocument/2006/relationships/hyperlink" Target="https://it.wikipedia.org/wiki/Novembre" TargetMode="External"/><Relationship Id="rId22" Type="http://schemas.openxmlformats.org/officeDocument/2006/relationships/hyperlink" Target="https://it.wikipedia.org/wiki/Anno" TargetMode="External"/><Relationship Id="rId27" Type="http://schemas.openxmlformats.org/officeDocument/2006/relationships/hyperlink" Target="https://it.wikipedia.org/wiki/Maggio" TargetMode="External"/><Relationship Id="rId30" Type="http://schemas.openxmlformats.org/officeDocument/2006/relationships/hyperlink" Target="https://it.wikipedia.org/wiki/Agosto" TargetMode="External"/><Relationship Id="rId35" Type="http://schemas.openxmlformats.org/officeDocument/2006/relationships/hyperlink" Target="https://it.wikipedia.org/wiki/Inverno" TargetMode="External"/><Relationship Id="rId43" Type="http://schemas.openxmlformats.org/officeDocument/2006/relationships/hyperlink" Target="https://it.wikipedia.org/wiki/Marzo" TargetMode="External"/><Relationship Id="rId48" Type="http://schemas.openxmlformats.org/officeDocument/2006/relationships/hyperlink" Target="https://it.wikipedia.org/wiki/Agosto" TargetMode="External"/><Relationship Id="rId8" Type="http://schemas.openxmlformats.org/officeDocument/2006/relationships/hyperlink" Target="https://it.wikipedia.org/wiki/Maggio" TargetMode="External"/><Relationship Id="rId51" Type="http://schemas.openxmlformats.org/officeDocument/2006/relationships/hyperlink" Target="https://it.wikipedia.org/wiki/Novembre" TargetMode="External"/><Relationship Id="rId3" Type="http://schemas.openxmlformats.org/officeDocument/2006/relationships/hyperlink" Target="https://it.wikipedia.org/wiki/Anno" TargetMode="External"/><Relationship Id="rId12" Type="http://schemas.openxmlformats.org/officeDocument/2006/relationships/hyperlink" Target="https://it.wikipedia.org/wiki/Settembre" TargetMode="External"/><Relationship Id="rId17" Type="http://schemas.openxmlformats.org/officeDocument/2006/relationships/hyperlink" Target="https://it.wikipedia.org/wiki/Primavera" TargetMode="External"/><Relationship Id="rId25" Type="http://schemas.openxmlformats.org/officeDocument/2006/relationships/hyperlink" Target="https://it.wikipedia.org/wiki/Marzo" TargetMode="External"/><Relationship Id="rId33" Type="http://schemas.openxmlformats.org/officeDocument/2006/relationships/hyperlink" Target="https://it.wikipedia.org/wiki/Novembre" TargetMode="External"/><Relationship Id="rId38" Type="http://schemas.openxmlformats.org/officeDocument/2006/relationships/hyperlink" Target="https://it.wikipedia.org/wiki/Autunno" TargetMode="External"/><Relationship Id="rId46" Type="http://schemas.openxmlformats.org/officeDocument/2006/relationships/hyperlink" Target="https://it.wikipedia.org/wiki/Giugno" TargetMode="External"/><Relationship Id="rId20" Type="http://schemas.openxmlformats.org/officeDocument/2006/relationships/hyperlink" Target="https://it.wikipedia.org/wiki/Mese" TargetMode="External"/><Relationship Id="rId41" Type="http://schemas.openxmlformats.org/officeDocument/2006/relationships/hyperlink" Target="https://it.wikipedia.org/wiki/Gennaio" TargetMode="External"/><Relationship Id="rId54" Type="http://schemas.openxmlformats.org/officeDocument/2006/relationships/drawing" Target="../drawings/drawing2.xml"/><Relationship Id="rId1" Type="http://schemas.openxmlformats.org/officeDocument/2006/relationships/hyperlink" Target="https://it.wikipedia.org/wiki/Mese" TargetMode="External"/><Relationship Id="rId6" Type="http://schemas.openxmlformats.org/officeDocument/2006/relationships/hyperlink" Target="https://it.wikipedia.org/wiki/Marzo" TargetMode="External"/><Relationship Id="rId15" Type="http://schemas.openxmlformats.org/officeDocument/2006/relationships/hyperlink" Target="https://it.wikipedia.org/wiki/Dicembre" TargetMode="External"/><Relationship Id="rId23" Type="http://schemas.openxmlformats.org/officeDocument/2006/relationships/hyperlink" Target="https://it.wikipedia.org/wiki/Gennaio" TargetMode="External"/><Relationship Id="rId28" Type="http://schemas.openxmlformats.org/officeDocument/2006/relationships/hyperlink" Target="https://it.wikipedia.org/wiki/Giugno" TargetMode="External"/><Relationship Id="rId36" Type="http://schemas.openxmlformats.org/officeDocument/2006/relationships/hyperlink" Target="https://it.wikipedia.org/wiki/Primavera" TargetMode="External"/><Relationship Id="rId49" Type="http://schemas.openxmlformats.org/officeDocument/2006/relationships/hyperlink" Target="https://it.wikipedia.org/wiki/Settembr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hyperlink" Target="http://www.euribor.it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AA09-92A7-498C-8F54-C880D669F4C4}">
  <dimension ref="B1:AG44"/>
  <sheetViews>
    <sheetView zoomScale="70" zoomScaleNormal="70" workbookViewId="0">
      <selection activeCell="E37" sqref="E37"/>
    </sheetView>
  </sheetViews>
  <sheetFormatPr defaultColWidth="9.109375" defaultRowHeight="14.4"/>
  <cols>
    <col min="1" max="1" width="5.33203125" style="16" customWidth="1"/>
    <col min="2" max="2" width="41.44140625" style="16" customWidth="1"/>
    <col min="3" max="4" width="7.109375" style="16" customWidth="1"/>
    <col min="5" max="5" width="15.109375" style="16" bestFit="1" customWidth="1"/>
    <col min="6" max="6" width="7" style="16" customWidth="1"/>
    <col min="7" max="7" width="94.109375" style="16" bestFit="1" customWidth="1"/>
    <col min="8" max="8" width="14.88671875" style="16" customWidth="1"/>
    <col min="9" max="9" width="12.109375" style="16" customWidth="1"/>
    <col min="10" max="10" width="10.109375" style="16" customWidth="1"/>
    <col min="11" max="11" width="9.109375" style="16"/>
    <col min="12" max="12" width="15.33203125" style="16" bestFit="1" customWidth="1"/>
    <col min="13" max="13" width="4.6640625" style="16" bestFit="1" customWidth="1"/>
    <col min="14" max="14" width="102" style="16" bestFit="1" customWidth="1"/>
    <col min="15" max="16" width="13.109375" style="16" customWidth="1"/>
    <col min="17" max="17" width="15" style="16" bestFit="1" customWidth="1"/>
    <col min="18" max="19" width="13.109375" style="16" customWidth="1"/>
    <col min="20" max="20" width="15" style="16" customWidth="1"/>
    <col min="21" max="16384" width="9.109375" style="16"/>
  </cols>
  <sheetData>
    <row r="1" spans="2:33" ht="18.600000000000001" thickBot="1">
      <c r="B1" s="531" t="s">
        <v>29</v>
      </c>
      <c r="C1" s="531"/>
      <c r="E1" s="532" t="s">
        <v>30</v>
      </c>
      <c r="F1" s="532"/>
      <c r="G1" s="532"/>
      <c r="H1" s="532"/>
      <c r="I1" s="532"/>
      <c r="J1" s="532"/>
      <c r="L1" s="533" t="s">
        <v>31</v>
      </c>
      <c r="M1" s="533"/>
      <c r="N1" s="533"/>
      <c r="O1" s="533"/>
      <c r="P1" s="533"/>
      <c r="Q1" s="533"/>
      <c r="R1" s="533"/>
      <c r="S1" s="533"/>
      <c r="T1" s="533"/>
    </row>
    <row r="2" spans="2:33" ht="15" customHeight="1">
      <c r="B2" s="17" t="s">
        <v>14</v>
      </c>
      <c r="C2" s="18" t="s">
        <v>1</v>
      </c>
      <c r="E2" s="534" t="s">
        <v>32</v>
      </c>
      <c r="F2" s="535"/>
      <c r="G2" s="538" t="s">
        <v>17</v>
      </c>
      <c r="H2" s="535" t="s">
        <v>33</v>
      </c>
      <c r="I2" s="535"/>
      <c r="J2" s="540"/>
      <c r="L2" s="534" t="s">
        <v>32</v>
      </c>
      <c r="M2" s="535"/>
      <c r="N2" s="535" t="s">
        <v>17</v>
      </c>
      <c r="O2" s="541" t="s">
        <v>34</v>
      </c>
      <c r="P2" s="541"/>
      <c r="Q2" s="541"/>
      <c r="R2" s="541" t="s">
        <v>35</v>
      </c>
      <c r="S2" s="541"/>
      <c r="T2" s="542"/>
    </row>
    <row r="3" spans="2:33" ht="36.6" thickBot="1">
      <c r="B3" s="19" t="s">
        <v>36</v>
      </c>
      <c r="C3" s="20">
        <v>0.75</v>
      </c>
      <c r="E3" s="536"/>
      <c r="F3" s="537"/>
      <c r="G3" s="539"/>
      <c r="H3" s="21" t="s">
        <v>37</v>
      </c>
      <c r="I3" s="21" t="s">
        <v>38</v>
      </c>
      <c r="J3" s="22" t="s">
        <v>35</v>
      </c>
      <c r="L3" s="536"/>
      <c r="M3" s="537"/>
      <c r="N3" s="537"/>
      <c r="O3" s="23" t="s">
        <v>22</v>
      </c>
      <c r="P3" s="23" t="s">
        <v>39</v>
      </c>
      <c r="Q3" s="23" t="s">
        <v>40</v>
      </c>
      <c r="R3" s="23" t="s">
        <v>22</v>
      </c>
      <c r="S3" s="23" t="s">
        <v>39</v>
      </c>
      <c r="T3" s="24" t="s">
        <v>40</v>
      </c>
      <c r="X3"/>
      <c r="Y3"/>
      <c r="Z3"/>
      <c r="AA3"/>
      <c r="AB3"/>
      <c r="AC3"/>
      <c r="AD3"/>
      <c r="AE3"/>
      <c r="AF3"/>
      <c r="AG3"/>
    </row>
    <row r="4" spans="2:33">
      <c r="B4" s="19" t="s">
        <v>41</v>
      </c>
      <c r="C4" s="20">
        <v>0.75</v>
      </c>
      <c r="E4" s="543" t="s">
        <v>42</v>
      </c>
      <c r="F4" s="25" t="s">
        <v>43</v>
      </c>
      <c r="G4" s="26" t="s">
        <v>44</v>
      </c>
      <c r="H4" s="27">
        <v>0.442</v>
      </c>
      <c r="I4" s="27">
        <v>0.442</v>
      </c>
      <c r="J4" s="28">
        <v>0.442</v>
      </c>
      <c r="L4" s="543" t="s">
        <v>42</v>
      </c>
      <c r="M4" s="25" t="s">
        <v>43</v>
      </c>
      <c r="N4" s="29" t="s">
        <v>44</v>
      </c>
      <c r="O4" s="30">
        <v>0.88</v>
      </c>
      <c r="P4" s="30">
        <v>0.83</v>
      </c>
      <c r="Q4" s="30">
        <v>0.8</v>
      </c>
      <c r="R4" s="30">
        <v>0.88</v>
      </c>
      <c r="S4" s="30">
        <v>0.83</v>
      </c>
      <c r="T4" s="31">
        <v>0.8</v>
      </c>
      <c r="X4"/>
      <c r="Y4"/>
      <c r="Z4"/>
      <c r="AA4"/>
      <c r="AB4"/>
      <c r="AC4"/>
      <c r="AD4"/>
      <c r="AE4"/>
      <c r="AF4"/>
      <c r="AG4"/>
    </row>
    <row r="5" spans="2:33" ht="28.8">
      <c r="B5" s="19" t="s">
        <v>45</v>
      </c>
      <c r="C5" s="20">
        <v>0.75</v>
      </c>
      <c r="E5" s="544"/>
      <c r="F5" s="32" t="s">
        <v>46</v>
      </c>
      <c r="G5" s="33" t="s">
        <v>47</v>
      </c>
      <c r="H5" s="34">
        <v>0.41799999999999998</v>
      </c>
      <c r="I5" s="34">
        <v>0.41799999999999998</v>
      </c>
      <c r="J5" s="35">
        <v>0.41799999999999998</v>
      </c>
      <c r="L5" s="544"/>
      <c r="M5" s="32" t="s">
        <v>46</v>
      </c>
      <c r="N5" s="36" t="s">
        <v>47</v>
      </c>
      <c r="O5" s="37">
        <v>0.86</v>
      </c>
      <c r="P5" s="37">
        <v>0.81</v>
      </c>
      <c r="Q5" s="37">
        <v>0.78</v>
      </c>
      <c r="R5" s="37">
        <v>0.86</v>
      </c>
      <c r="S5" s="37">
        <v>0.81</v>
      </c>
      <c r="T5" s="38">
        <v>0.78</v>
      </c>
      <c r="X5"/>
      <c r="Y5"/>
      <c r="Z5"/>
      <c r="AA5"/>
      <c r="AB5"/>
      <c r="AC5"/>
      <c r="AD5"/>
      <c r="AE5"/>
      <c r="AF5"/>
      <c r="AG5"/>
    </row>
    <row r="6" spans="2:33">
      <c r="B6" s="19" t="s">
        <v>48</v>
      </c>
      <c r="C6" s="20">
        <v>0.75</v>
      </c>
      <c r="E6" s="544"/>
      <c r="F6" s="32" t="s">
        <v>49</v>
      </c>
      <c r="G6" s="39" t="s">
        <v>50</v>
      </c>
      <c r="H6" s="34">
        <v>0.39</v>
      </c>
      <c r="I6" s="34">
        <v>0.39</v>
      </c>
      <c r="J6" s="35">
        <v>0.39</v>
      </c>
      <c r="L6" s="544"/>
      <c r="M6" s="32" t="s">
        <v>49</v>
      </c>
      <c r="N6" s="40" t="s">
        <v>50</v>
      </c>
      <c r="O6" s="37">
        <v>0.86</v>
      </c>
      <c r="P6" s="37">
        <v>0.81</v>
      </c>
      <c r="Q6" s="37">
        <v>0.78</v>
      </c>
      <c r="R6" s="37">
        <v>0.86</v>
      </c>
      <c r="S6" s="37">
        <v>0.81</v>
      </c>
      <c r="T6" s="38">
        <v>0.78</v>
      </c>
      <c r="X6"/>
      <c r="Y6"/>
      <c r="Z6"/>
      <c r="AA6"/>
      <c r="AB6"/>
      <c r="AC6"/>
      <c r="AD6"/>
      <c r="AE6"/>
      <c r="AF6"/>
      <c r="AG6"/>
    </row>
    <row r="7" spans="2:33" ht="43.2">
      <c r="B7" s="19" t="s">
        <v>51</v>
      </c>
      <c r="C7" s="20">
        <v>0.75</v>
      </c>
      <c r="E7" s="544"/>
      <c r="F7" s="32" t="s">
        <v>52</v>
      </c>
      <c r="G7" s="33" t="s">
        <v>53</v>
      </c>
      <c r="H7" s="34">
        <v>0.33</v>
      </c>
      <c r="I7" s="34">
        <v>0.33</v>
      </c>
      <c r="J7" s="35">
        <v>0.37</v>
      </c>
      <c r="L7" s="544"/>
      <c r="M7" s="32" t="s">
        <v>52</v>
      </c>
      <c r="N7" s="36" t="s">
        <v>53</v>
      </c>
      <c r="O7" s="37">
        <v>0.86</v>
      </c>
      <c r="P7" s="37">
        <v>0.81</v>
      </c>
      <c r="Q7" s="37">
        <v>0.78</v>
      </c>
      <c r="R7" s="37">
        <v>0.86</v>
      </c>
      <c r="S7" s="37">
        <v>0.81</v>
      </c>
      <c r="T7" s="38">
        <v>0.78</v>
      </c>
      <c r="X7"/>
      <c r="Y7"/>
      <c r="Z7"/>
      <c r="AA7"/>
      <c r="AB7"/>
      <c r="AC7"/>
      <c r="AD7"/>
      <c r="AE7"/>
      <c r="AF7"/>
      <c r="AG7"/>
    </row>
    <row r="8" spans="2:33" ht="28.8">
      <c r="B8" s="19" t="s">
        <v>54</v>
      </c>
      <c r="C8" s="20">
        <v>0.75</v>
      </c>
      <c r="E8" s="544"/>
      <c r="F8" s="32" t="s">
        <v>55</v>
      </c>
      <c r="G8" s="33" t="s">
        <v>19</v>
      </c>
      <c r="H8" s="34">
        <v>0.25</v>
      </c>
      <c r="I8" s="34">
        <v>0.25</v>
      </c>
      <c r="J8" s="35">
        <v>0.3</v>
      </c>
      <c r="L8" s="544"/>
      <c r="M8" s="32" t="s">
        <v>55</v>
      </c>
      <c r="N8" s="36" t="s">
        <v>19</v>
      </c>
      <c r="O8" s="37">
        <v>0.8</v>
      </c>
      <c r="P8" s="37">
        <v>0.75</v>
      </c>
      <c r="Q8" s="37">
        <v>0.72</v>
      </c>
      <c r="R8" s="37">
        <v>0.8</v>
      </c>
      <c r="S8" s="37">
        <v>0.75</v>
      </c>
      <c r="T8" s="38">
        <v>0.72</v>
      </c>
      <c r="X8"/>
      <c r="Y8"/>
      <c r="Z8"/>
      <c r="AA8"/>
      <c r="AB8"/>
      <c r="AC8"/>
      <c r="AD8"/>
      <c r="AE8"/>
      <c r="AF8"/>
      <c r="AG8"/>
    </row>
    <row r="9" spans="2:33" ht="15" thickBot="1">
      <c r="B9" s="19" t="s">
        <v>56</v>
      </c>
      <c r="C9" s="20">
        <v>0.75</v>
      </c>
      <c r="E9" s="545"/>
      <c r="F9" s="41" t="s">
        <v>57</v>
      </c>
      <c r="G9" s="42" t="s">
        <v>58</v>
      </c>
      <c r="H9" s="43">
        <v>0.25</v>
      </c>
      <c r="I9" s="43">
        <v>0.25</v>
      </c>
      <c r="J9" s="44">
        <v>0.25</v>
      </c>
      <c r="L9" s="545"/>
      <c r="M9" s="41" t="s">
        <v>57</v>
      </c>
      <c r="N9" s="45" t="s">
        <v>58</v>
      </c>
      <c r="O9" s="46">
        <v>0.8</v>
      </c>
      <c r="P9" s="46">
        <v>0.75</v>
      </c>
      <c r="Q9" s="46">
        <v>0.72</v>
      </c>
      <c r="R9" s="46">
        <v>0.8</v>
      </c>
      <c r="S9" s="46">
        <v>0.75</v>
      </c>
      <c r="T9" s="47">
        <v>0.72</v>
      </c>
      <c r="X9"/>
      <c r="Y9"/>
      <c r="Z9"/>
      <c r="AA9"/>
      <c r="AB9"/>
      <c r="AC9"/>
      <c r="AD9"/>
      <c r="AE9"/>
      <c r="AF9"/>
      <c r="AG9"/>
    </row>
    <row r="10" spans="2:33">
      <c r="B10" s="19" t="s">
        <v>15</v>
      </c>
      <c r="C10" s="20">
        <v>0.75</v>
      </c>
      <c r="E10" s="543" t="s">
        <v>59</v>
      </c>
      <c r="F10" s="25" t="s">
        <v>60</v>
      </c>
      <c r="G10" s="26" t="s">
        <v>61</v>
      </c>
      <c r="H10" s="27">
        <v>0.442</v>
      </c>
      <c r="I10" s="27">
        <v>0.442</v>
      </c>
      <c r="J10" s="28">
        <v>0.442</v>
      </c>
      <c r="L10" s="543" t="s">
        <v>59</v>
      </c>
      <c r="M10" s="25" t="s">
        <v>60</v>
      </c>
      <c r="N10" s="29" t="s">
        <v>61</v>
      </c>
      <c r="O10" s="30">
        <v>0.89</v>
      </c>
      <c r="P10" s="30">
        <v>0.84</v>
      </c>
      <c r="Q10" s="30">
        <v>0.81</v>
      </c>
      <c r="R10" s="30">
        <v>0.85</v>
      </c>
      <c r="S10" s="30">
        <v>0.8</v>
      </c>
      <c r="T10" s="31">
        <v>0.77</v>
      </c>
      <c r="X10"/>
      <c r="Y10"/>
      <c r="Z10"/>
      <c r="AA10"/>
      <c r="AB10"/>
      <c r="AC10"/>
      <c r="AD10"/>
      <c r="AE10"/>
      <c r="AF10"/>
      <c r="AG10"/>
    </row>
    <row r="11" spans="2:33" ht="43.2">
      <c r="B11" s="19" t="s">
        <v>62</v>
      </c>
      <c r="C11" s="20">
        <v>0.75</v>
      </c>
      <c r="E11" s="544"/>
      <c r="F11" s="32" t="s">
        <v>63</v>
      </c>
      <c r="G11" s="33" t="s">
        <v>64</v>
      </c>
      <c r="H11" s="34">
        <v>0.442</v>
      </c>
      <c r="I11" s="34">
        <v>0.442</v>
      </c>
      <c r="J11" s="35">
        <v>0.442</v>
      </c>
      <c r="L11" s="544"/>
      <c r="M11" s="32" t="s">
        <v>63</v>
      </c>
      <c r="N11" s="36" t="s">
        <v>64</v>
      </c>
      <c r="O11" s="37">
        <v>0.89</v>
      </c>
      <c r="P11" s="37">
        <v>0.84</v>
      </c>
      <c r="Q11" s="37">
        <v>0.81</v>
      </c>
      <c r="R11" s="37">
        <v>0.85</v>
      </c>
      <c r="S11" s="37">
        <v>0.8</v>
      </c>
      <c r="T11" s="38">
        <v>0.77</v>
      </c>
      <c r="X11"/>
      <c r="Y11"/>
      <c r="Z11"/>
      <c r="AA11"/>
      <c r="AB11"/>
      <c r="AC11"/>
      <c r="AD11"/>
      <c r="AE11"/>
      <c r="AF11"/>
      <c r="AG11"/>
    </row>
    <row r="12" spans="2:33" ht="29.4" thickBot="1">
      <c r="B12" s="19" t="s">
        <v>65</v>
      </c>
      <c r="C12" s="20">
        <v>0.8</v>
      </c>
      <c r="E12" s="545"/>
      <c r="F12" s="41" t="s">
        <v>66</v>
      </c>
      <c r="G12" s="42" t="s">
        <v>67</v>
      </c>
      <c r="H12" s="43">
        <v>0.25</v>
      </c>
      <c r="I12" s="43">
        <v>0.25</v>
      </c>
      <c r="J12" s="44">
        <v>0.28999999999999998</v>
      </c>
      <c r="L12" s="545"/>
      <c r="M12" s="41" t="s">
        <v>66</v>
      </c>
      <c r="N12" s="45" t="s">
        <v>67</v>
      </c>
      <c r="O12" s="46">
        <v>0.8</v>
      </c>
      <c r="P12" s="46">
        <v>0.75</v>
      </c>
      <c r="Q12" s="46">
        <v>0.72</v>
      </c>
      <c r="R12" s="46">
        <v>0.75</v>
      </c>
      <c r="S12" s="46">
        <v>0.7</v>
      </c>
      <c r="T12" s="47">
        <v>0.67</v>
      </c>
      <c r="X12"/>
      <c r="Y12"/>
      <c r="Z12"/>
      <c r="AA12"/>
      <c r="AB12"/>
      <c r="AC12"/>
      <c r="AD12"/>
      <c r="AE12"/>
      <c r="AF12"/>
      <c r="AG12"/>
    </row>
    <row r="13" spans="2:33">
      <c r="B13" s="19" t="s">
        <v>68</v>
      </c>
      <c r="C13" s="20">
        <v>0.8</v>
      </c>
      <c r="E13" s="543" t="s">
        <v>69</v>
      </c>
      <c r="F13" s="48" t="s">
        <v>70</v>
      </c>
      <c r="G13" s="26" t="s">
        <v>71</v>
      </c>
      <c r="H13" s="27">
        <v>0.52500000000000002</v>
      </c>
      <c r="I13" s="27">
        <v>0.52500000000000002</v>
      </c>
      <c r="J13" s="28">
        <v>0.53</v>
      </c>
      <c r="L13" s="543" t="s">
        <v>69</v>
      </c>
      <c r="M13" s="48" t="s">
        <v>70</v>
      </c>
      <c r="N13" s="29" t="s">
        <v>71</v>
      </c>
      <c r="O13" s="30">
        <v>0.9</v>
      </c>
      <c r="P13" s="30">
        <v>0.85</v>
      </c>
      <c r="Q13" s="30">
        <v>0.82</v>
      </c>
      <c r="R13" s="30">
        <v>0.92</v>
      </c>
      <c r="S13" s="30">
        <v>0.87</v>
      </c>
      <c r="T13" s="31">
        <v>0.84</v>
      </c>
      <c r="X13"/>
      <c r="Y13"/>
      <c r="Z13"/>
      <c r="AA13"/>
      <c r="AB13"/>
      <c r="AC13"/>
      <c r="AD13"/>
      <c r="AE13"/>
      <c r="AF13"/>
      <c r="AG13"/>
    </row>
    <row r="14" spans="2:33" ht="43.8" thickBot="1">
      <c r="B14" s="49" t="s">
        <v>72</v>
      </c>
      <c r="C14" s="50">
        <v>0.8</v>
      </c>
      <c r="E14" s="544"/>
      <c r="F14" s="51" t="s">
        <v>73</v>
      </c>
      <c r="G14" s="33" t="s">
        <v>74</v>
      </c>
      <c r="H14" s="34">
        <v>0.442</v>
      </c>
      <c r="I14" s="34">
        <v>0.442</v>
      </c>
      <c r="J14" s="35">
        <v>0.442</v>
      </c>
      <c r="L14" s="544"/>
      <c r="M14" s="51" t="s">
        <v>73</v>
      </c>
      <c r="N14" s="36" t="s">
        <v>74</v>
      </c>
      <c r="O14" s="37">
        <v>0.89</v>
      </c>
      <c r="P14" s="37">
        <v>0.84</v>
      </c>
      <c r="Q14" s="37">
        <v>0.81</v>
      </c>
      <c r="R14" s="37">
        <v>0.9</v>
      </c>
      <c r="S14" s="37">
        <v>0.85</v>
      </c>
      <c r="T14" s="38">
        <v>0.82</v>
      </c>
      <c r="X14"/>
      <c r="Y14"/>
      <c r="Z14"/>
      <c r="AA14"/>
      <c r="AB14"/>
      <c r="AC14"/>
      <c r="AD14"/>
      <c r="AE14"/>
      <c r="AF14"/>
      <c r="AG14"/>
    </row>
    <row r="15" spans="2:33">
      <c r="E15" s="544"/>
      <c r="F15" s="51" t="s">
        <v>75</v>
      </c>
      <c r="G15" s="33" t="s">
        <v>76</v>
      </c>
      <c r="H15" s="34">
        <v>0.42</v>
      </c>
      <c r="I15" s="34">
        <v>0.42</v>
      </c>
      <c r="J15" s="35">
        <v>0.42</v>
      </c>
      <c r="L15" s="544"/>
      <c r="M15" s="51" t="s">
        <v>75</v>
      </c>
      <c r="N15" s="36" t="s">
        <v>76</v>
      </c>
      <c r="O15" s="37">
        <v>0.7</v>
      </c>
      <c r="P15" s="37">
        <v>0.65</v>
      </c>
      <c r="Q15" s="37">
        <v>0.62</v>
      </c>
      <c r="R15" s="37">
        <v>0.8</v>
      </c>
      <c r="S15" s="37">
        <v>0.75</v>
      </c>
      <c r="T15" s="38">
        <v>0.72</v>
      </c>
      <c r="X15"/>
      <c r="Y15"/>
      <c r="Z15"/>
      <c r="AA15"/>
      <c r="AB15"/>
      <c r="AC15"/>
      <c r="AD15"/>
      <c r="AE15"/>
      <c r="AF15"/>
      <c r="AG15"/>
    </row>
    <row r="16" spans="2:33" ht="15" thickBot="1">
      <c r="E16" s="545"/>
      <c r="F16" s="52" t="s">
        <v>77</v>
      </c>
      <c r="G16" s="42" t="s">
        <v>78</v>
      </c>
      <c r="H16" s="43">
        <v>0.35</v>
      </c>
      <c r="I16" s="43">
        <v>0.35</v>
      </c>
      <c r="J16" s="44">
        <v>0.35</v>
      </c>
      <c r="L16" s="546"/>
      <c r="M16" s="53" t="s">
        <v>77</v>
      </c>
      <c r="N16" s="54" t="s">
        <v>78</v>
      </c>
      <c r="O16" s="55">
        <v>0.8</v>
      </c>
      <c r="P16" s="55">
        <v>0.75</v>
      </c>
      <c r="Q16" s="55">
        <v>0.72</v>
      </c>
      <c r="R16" s="55">
        <v>0.8</v>
      </c>
      <c r="S16" s="55">
        <v>0.75</v>
      </c>
      <c r="T16" s="56">
        <v>0.72</v>
      </c>
      <c r="X16"/>
      <c r="Y16"/>
      <c r="Z16"/>
      <c r="AA16"/>
      <c r="AB16"/>
      <c r="AC16"/>
      <c r="AD16"/>
      <c r="AE16"/>
      <c r="AF16"/>
      <c r="AG16"/>
    </row>
    <row r="17" spans="5:33" ht="28.8">
      <c r="E17" s="543" t="s">
        <v>79</v>
      </c>
      <c r="F17" s="48" t="s">
        <v>80</v>
      </c>
      <c r="G17" s="26" t="s">
        <v>81</v>
      </c>
      <c r="H17" s="27">
        <v>0</v>
      </c>
      <c r="I17" s="27">
        <v>0</v>
      </c>
      <c r="J17" s="28">
        <v>0.3</v>
      </c>
      <c r="L17" s="543" t="s">
        <v>79</v>
      </c>
      <c r="M17" s="48" t="s">
        <v>80</v>
      </c>
      <c r="N17" s="29" t="s">
        <v>81</v>
      </c>
      <c r="O17" s="27">
        <v>0</v>
      </c>
      <c r="P17" s="27">
        <v>0</v>
      </c>
      <c r="Q17" s="57">
        <v>0</v>
      </c>
      <c r="R17" s="30">
        <v>0.92</v>
      </c>
      <c r="S17" s="30">
        <v>0.87</v>
      </c>
      <c r="T17" s="58">
        <v>0</v>
      </c>
      <c r="X17"/>
      <c r="Y17"/>
      <c r="Z17"/>
      <c r="AA17"/>
      <c r="AB17"/>
      <c r="AC17"/>
      <c r="AD17"/>
      <c r="AE17"/>
      <c r="AF17"/>
      <c r="AG17"/>
    </row>
    <row r="18" spans="5:33">
      <c r="E18" s="544"/>
      <c r="F18" s="51" t="s">
        <v>82</v>
      </c>
      <c r="G18" s="33" t="s">
        <v>83</v>
      </c>
      <c r="H18" s="34">
        <v>0</v>
      </c>
      <c r="I18" s="34">
        <v>0</v>
      </c>
      <c r="J18" s="35">
        <v>0.33</v>
      </c>
      <c r="L18" s="544"/>
      <c r="M18" s="51" t="s">
        <v>82</v>
      </c>
      <c r="N18" s="36" t="s">
        <v>83</v>
      </c>
      <c r="O18" s="59">
        <v>0</v>
      </c>
      <c r="P18" s="59">
        <v>0</v>
      </c>
      <c r="Q18" s="60">
        <v>0</v>
      </c>
      <c r="R18" s="37">
        <v>0.92</v>
      </c>
      <c r="S18" s="37">
        <v>0.87</v>
      </c>
      <c r="T18" s="61">
        <v>0</v>
      </c>
      <c r="X18"/>
      <c r="Y18"/>
      <c r="Z18"/>
      <c r="AA18"/>
      <c r="AB18"/>
      <c r="AC18"/>
      <c r="AD18"/>
      <c r="AE18"/>
      <c r="AF18"/>
      <c r="AG18"/>
    </row>
    <row r="19" spans="5:33">
      <c r="E19" s="544"/>
      <c r="F19" s="51" t="s">
        <v>84</v>
      </c>
      <c r="G19" s="33" t="s">
        <v>85</v>
      </c>
      <c r="H19" s="34">
        <v>0</v>
      </c>
      <c r="I19" s="34">
        <v>0</v>
      </c>
      <c r="J19" s="35">
        <v>0.3</v>
      </c>
      <c r="L19" s="544"/>
      <c r="M19" s="51" t="s">
        <v>84</v>
      </c>
      <c r="N19" s="36" t="s">
        <v>85</v>
      </c>
      <c r="O19" s="37">
        <v>0</v>
      </c>
      <c r="P19" s="37">
        <v>0</v>
      </c>
      <c r="Q19" s="62">
        <v>0</v>
      </c>
      <c r="R19" s="37">
        <v>0.92</v>
      </c>
      <c r="S19" s="37">
        <v>0.87</v>
      </c>
      <c r="T19" s="63">
        <v>0</v>
      </c>
      <c r="X19"/>
      <c r="Y19"/>
      <c r="Z19"/>
      <c r="AA19"/>
      <c r="AB19"/>
      <c r="AC19"/>
      <c r="AD19"/>
      <c r="AE19"/>
      <c r="AF19"/>
      <c r="AG19"/>
    </row>
    <row r="20" spans="5:33">
      <c r="E20" s="544"/>
      <c r="F20" s="51" t="s">
        <v>86</v>
      </c>
      <c r="G20" s="33" t="s">
        <v>87</v>
      </c>
      <c r="H20" s="34">
        <v>0</v>
      </c>
      <c r="I20" s="34">
        <v>0</v>
      </c>
      <c r="J20" s="35">
        <v>0.19500000000000001</v>
      </c>
      <c r="L20" s="544"/>
      <c r="M20" s="51" t="s">
        <v>86</v>
      </c>
      <c r="N20" s="36" t="s">
        <v>87</v>
      </c>
      <c r="O20" s="37">
        <v>0</v>
      </c>
      <c r="P20" s="37">
        <v>0</v>
      </c>
      <c r="Q20" s="62">
        <v>0</v>
      </c>
      <c r="R20" s="37">
        <v>0.92</v>
      </c>
      <c r="S20" s="37">
        <v>0.87</v>
      </c>
      <c r="T20" s="63">
        <v>0</v>
      </c>
      <c r="X20"/>
      <c r="Y20"/>
      <c r="Z20"/>
      <c r="AA20"/>
      <c r="AB20"/>
      <c r="AC20"/>
      <c r="AD20"/>
      <c r="AE20"/>
      <c r="AF20"/>
      <c r="AG20"/>
    </row>
    <row r="21" spans="5:33" ht="15" thickBot="1">
      <c r="E21" s="545"/>
      <c r="F21" s="52" t="s">
        <v>88</v>
      </c>
      <c r="G21" s="42" t="s">
        <v>89</v>
      </c>
      <c r="H21" s="43">
        <v>0</v>
      </c>
      <c r="I21" s="43">
        <v>0</v>
      </c>
      <c r="J21" s="44">
        <v>0.3</v>
      </c>
      <c r="L21" s="545"/>
      <c r="M21" s="52" t="s">
        <v>88</v>
      </c>
      <c r="N21" s="45" t="s">
        <v>89</v>
      </c>
      <c r="O21" s="64">
        <v>0</v>
      </c>
      <c r="P21" s="64">
        <v>0</v>
      </c>
      <c r="Q21" s="65">
        <v>0</v>
      </c>
      <c r="R21" s="64">
        <v>0.92</v>
      </c>
      <c r="S21" s="64">
        <v>0.87</v>
      </c>
      <c r="T21" s="66">
        <v>0</v>
      </c>
      <c r="X21"/>
      <c r="Y21"/>
      <c r="Z21"/>
      <c r="AA21"/>
      <c r="AB21"/>
      <c r="AC21"/>
      <c r="AD21"/>
      <c r="AE21"/>
      <c r="AF21"/>
      <c r="AG21"/>
    </row>
    <row r="22" spans="5:33">
      <c r="X22"/>
      <c r="Y22"/>
      <c r="Z22"/>
      <c r="AA22"/>
      <c r="AB22"/>
      <c r="AC22"/>
      <c r="AD22"/>
      <c r="AE22"/>
      <c r="AF22"/>
      <c r="AG22"/>
    </row>
    <row r="23" spans="5:33">
      <c r="X23"/>
      <c r="Y23"/>
      <c r="Z23"/>
      <c r="AA23"/>
      <c r="AB23"/>
      <c r="AC23"/>
      <c r="AD23"/>
      <c r="AE23"/>
      <c r="AF23"/>
      <c r="AG23"/>
    </row>
    <row r="25" spans="5:33">
      <c r="G25"/>
      <c r="H25"/>
      <c r="I25"/>
      <c r="J25"/>
    </row>
    <row r="26" spans="5:33">
      <c r="G26"/>
      <c r="H26"/>
      <c r="I26"/>
      <c r="J26"/>
    </row>
    <row r="27" spans="5:33">
      <c r="G27"/>
      <c r="H27"/>
      <c r="I27"/>
      <c r="J27"/>
    </row>
    <row r="28" spans="5:33">
      <c r="G28"/>
      <c r="H28"/>
      <c r="I28"/>
      <c r="J28"/>
    </row>
    <row r="29" spans="5:33">
      <c r="G29"/>
      <c r="H29"/>
      <c r="I29"/>
      <c r="J29"/>
    </row>
    <row r="30" spans="5:33">
      <c r="G30"/>
      <c r="H30"/>
      <c r="I30"/>
      <c r="J30"/>
    </row>
    <row r="31" spans="5:33">
      <c r="G31"/>
      <c r="H31"/>
      <c r="I31"/>
      <c r="J31"/>
    </row>
    <row r="32" spans="5:33">
      <c r="G32"/>
      <c r="H32"/>
      <c r="I32"/>
      <c r="J32"/>
    </row>
    <row r="33" spans="7:10">
      <c r="G33"/>
      <c r="H33"/>
      <c r="I33"/>
      <c r="J33"/>
    </row>
    <row r="34" spans="7:10">
      <c r="G34"/>
      <c r="H34"/>
      <c r="I34"/>
      <c r="J34"/>
    </row>
    <row r="35" spans="7:10">
      <c r="G35"/>
      <c r="H35"/>
      <c r="I35"/>
      <c r="J35"/>
    </row>
    <row r="36" spans="7:10">
      <c r="G36"/>
      <c r="H36"/>
      <c r="I36"/>
      <c r="J36"/>
    </row>
    <row r="37" spans="7:10">
      <c r="G37"/>
      <c r="H37"/>
      <c r="I37"/>
      <c r="J37"/>
    </row>
    <row r="38" spans="7:10">
      <c r="G38"/>
      <c r="H38"/>
      <c r="I38"/>
      <c r="J38"/>
    </row>
    <row r="39" spans="7:10">
      <c r="G39"/>
      <c r="H39"/>
      <c r="I39"/>
      <c r="J39"/>
    </row>
    <row r="40" spans="7:10">
      <c r="G40"/>
      <c r="H40"/>
      <c r="I40"/>
      <c r="J40"/>
    </row>
    <row r="41" spans="7:10">
      <c r="G41"/>
      <c r="H41"/>
      <c r="I41"/>
      <c r="J41"/>
    </row>
    <row r="42" spans="7:10">
      <c r="G42"/>
      <c r="H42"/>
      <c r="I42"/>
      <c r="J42"/>
    </row>
    <row r="43" spans="7:10">
      <c r="G43"/>
      <c r="H43"/>
      <c r="I43"/>
      <c r="J43"/>
    </row>
    <row r="44" spans="7:10">
      <c r="G44"/>
      <c r="H44"/>
      <c r="I44"/>
      <c r="J44"/>
    </row>
  </sheetData>
  <mergeCells count="18">
    <mergeCell ref="E17:E21"/>
    <mergeCell ref="L17:L21"/>
    <mergeCell ref="E4:E9"/>
    <mergeCell ref="L4:L9"/>
    <mergeCell ref="E10:E12"/>
    <mergeCell ref="L10:L12"/>
    <mergeCell ref="E13:E16"/>
    <mergeCell ref="L13:L16"/>
    <mergeCell ref="B1:C1"/>
    <mergeCell ref="E1:J1"/>
    <mergeCell ref="L1:T1"/>
    <mergeCell ref="E2:F3"/>
    <mergeCell ref="G2:G3"/>
    <mergeCell ref="H2:J2"/>
    <mergeCell ref="L2:M3"/>
    <mergeCell ref="N2:N3"/>
    <mergeCell ref="O2:Q2"/>
    <mergeCell ref="R2:T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010DD-D2D1-4ECF-B053-492185612EE1}">
  <dimension ref="B1:AF257"/>
  <sheetViews>
    <sheetView tabSelected="1" topLeftCell="A176" zoomScale="50" zoomScaleNormal="50" workbookViewId="0">
      <selection activeCell="G38" sqref="G38"/>
    </sheetView>
  </sheetViews>
  <sheetFormatPr defaultRowHeight="14.4"/>
  <cols>
    <col min="1" max="1" width="2" customWidth="1"/>
    <col min="2" max="2" width="7.44140625" customWidth="1"/>
    <col min="3" max="3" width="31.88671875" customWidth="1"/>
    <col min="4" max="4" width="27.33203125" customWidth="1"/>
    <col min="5" max="5" width="28.5546875" customWidth="1"/>
    <col min="6" max="6" width="34.33203125" customWidth="1"/>
    <col min="7" max="7" width="17.77734375" customWidth="1"/>
    <col min="8" max="8" width="15" customWidth="1"/>
    <col min="9" max="9" width="14.88671875" bestFit="1" customWidth="1"/>
    <col min="10" max="10" width="27" bestFit="1" customWidth="1"/>
    <col min="11" max="11" width="17.6640625" customWidth="1"/>
    <col min="12" max="12" width="18" customWidth="1"/>
    <col min="13" max="14" width="17.6640625" customWidth="1"/>
    <col min="15" max="15" width="17" bestFit="1" customWidth="1"/>
    <col min="16" max="16" width="19.21875" customWidth="1"/>
    <col min="17" max="17" width="11.88671875" bestFit="1" customWidth="1"/>
    <col min="18" max="18" width="22.109375" bestFit="1" customWidth="1"/>
    <col min="19" max="19" width="14" customWidth="1"/>
    <col min="20" max="20" width="14.44140625" bestFit="1" customWidth="1"/>
    <col min="21" max="21" width="9.33203125" bestFit="1" customWidth="1"/>
    <col min="22" max="22" width="13.33203125" bestFit="1" customWidth="1"/>
    <col min="23" max="24" width="16.6640625" bestFit="1" customWidth="1"/>
    <col min="25" max="25" width="15.6640625" bestFit="1" customWidth="1"/>
    <col min="26" max="26" width="13.33203125" bestFit="1" customWidth="1"/>
    <col min="27" max="27" width="21.33203125" bestFit="1" customWidth="1"/>
    <col min="28" max="28" width="17.109375" bestFit="1" customWidth="1"/>
    <col min="29" max="29" width="20.88671875" bestFit="1" customWidth="1"/>
    <col min="33" max="33" width="12.88671875" bestFit="1" customWidth="1"/>
    <col min="35" max="35" width="14.44140625" bestFit="1" customWidth="1"/>
  </cols>
  <sheetData>
    <row r="1" spans="3:32" s="2" customFormat="1" ht="13.8"/>
    <row r="2" spans="3:32" s="2" customFormat="1" ht="13.8">
      <c r="C2" s="548"/>
      <c r="D2" s="548"/>
      <c r="E2" s="548"/>
      <c r="F2" s="548"/>
      <c r="G2" s="548"/>
      <c r="H2" s="548"/>
    </row>
    <row r="3" spans="3:32" s="2" customFormat="1">
      <c r="P3"/>
      <c r="Q3"/>
      <c r="R3"/>
      <c r="S3"/>
      <c r="AF3" s="3"/>
    </row>
    <row r="4" spans="3:32" s="2" customFormat="1" ht="15.6">
      <c r="C4" s="549" t="s">
        <v>5</v>
      </c>
      <c r="D4" s="549"/>
      <c r="E4" s="549"/>
      <c r="F4" s="549"/>
      <c r="H4" s="550" t="s">
        <v>10</v>
      </c>
      <c r="I4" s="550"/>
      <c r="J4" s="550"/>
      <c r="L4" s="547" t="s">
        <v>112</v>
      </c>
      <c r="M4" s="547"/>
      <c r="N4" s="265"/>
      <c r="O4" s="158"/>
      <c r="P4" s="158"/>
      <c r="Q4"/>
      <c r="R4"/>
      <c r="S4"/>
      <c r="AE4" s="4"/>
    </row>
    <row r="5" spans="3:32" s="2" customFormat="1" ht="41.4">
      <c r="C5" s="244" t="s">
        <v>9</v>
      </c>
      <c r="D5" s="244" t="s">
        <v>8</v>
      </c>
      <c r="E5" s="244" t="s">
        <v>7</v>
      </c>
      <c r="F5" s="244" t="s">
        <v>6</v>
      </c>
      <c r="G5" s="9"/>
      <c r="H5" s="244" t="s">
        <v>11</v>
      </c>
      <c r="I5" s="244" t="s">
        <v>12</v>
      </c>
      <c r="J5" s="244" t="s">
        <v>13</v>
      </c>
      <c r="L5" s="248" t="s">
        <v>9</v>
      </c>
      <c r="M5" s="244" t="s">
        <v>113</v>
      </c>
      <c r="N5" s="244"/>
      <c r="O5" s="244" t="s">
        <v>113</v>
      </c>
      <c r="P5" s="249" t="s">
        <v>183</v>
      </c>
      <c r="R5"/>
      <c r="S5"/>
      <c r="AE5" s="4"/>
    </row>
    <row r="6" spans="3:32" s="2" customFormat="1">
      <c r="C6" s="239">
        <v>0</v>
      </c>
      <c r="D6" s="288">
        <f>E6*1000000/F6</f>
        <v>12.792178516134403</v>
      </c>
      <c r="E6" s="287">
        <v>2.486799503536528</v>
      </c>
      <c r="F6" s="285">
        <f>Taratura!$E$29</f>
        <v>194400</v>
      </c>
      <c r="H6" s="245">
        <v>0</v>
      </c>
      <c r="I6" s="245"/>
      <c r="J6" s="245"/>
      <c r="L6" s="245">
        <v>0</v>
      </c>
      <c r="M6" s="250">
        <f>$L$73*2/1000</f>
        <v>1.2</v>
      </c>
      <c r="N6" s="250"/>
      <c r="O6" s="250">
        <f>M6/2</f>
        <v>0.6</v>
      </c>
      <c r="P6" s="249">
        <f>E6*(1+15%)</f>
        <v>2.8598194290670071</v>
      </c>
      <c r="Q6"/>
      <c r="R6"/>
      <c r="S6"/>
      <c r="AE6" s="4"/>
    </row>
    <row r="7" spans="3:32" s="2" customFormat="1">
      <c r="C7" s="242">
        <v>365</v>
      </c>
      <c r="D7" s="288">
        <f t="shared" ref="D7:D19" si="0">E7*1000000/F7</f>
        <v>12.50292504117674</v>
      </c>
      <c r="E7" s="287">
        <v>2.430568628004758</v>
      </c>
      <c r="F7" s="285">
        <f>Taratura!$E$29</f>
        <v>194400</v>
      </c>
      <c r="H7" s="246">
        <v>365</v>
      </c>
      <c r="I7" s="247">
        <f t="shared" ref="I7:I19" si="1">((P6+P7)*(L7-L6)/2)</f>
        <v>1032.0326366072275</v>
      </c>
      <c r="J7" s="247">
        <f>I6+I7</f>
        <v>1032.0326366072275</v>
      </c>
      <c r="L7" s="245">
        <v>365</v>
      </c>
      <c r="M7" s="250">
        <f t="shared" ref="M7:M19" si="2">$L$73*2/1000</f>
        <v>1.2</v>
      </c>
      <c r="N7" s="250"/>
      <c r="O7" s="250">
        <f t="shared" ref="O7:O19" si="3">M7/2</f>
        <v>0.6</v>
      </c>
      <c r="P7" s="249">
        <f t="shared" ref="P7:P19" si="4">E7*(1+15%)</f>
        <v>2.7951539222054715</v>
      </c>
      <c r="Q7"/>
      <c r="R7"/>
      <c r="S7"/>
      <c r="AE7" s="4"/>
    </row>
    <row r="8" spans="3:32" s="2" customFormat="1">
      <c r="C8" s="242">
        <v>1095</v>
      </c>
      <c r="D8" s="288">
        <f t="shared" si="0"/>
        <v>11.735281962993437</v>
      </c>
      <c r="E8" s="287">
        <v>2.2813388136059243</v>
      </c>
      <c r="F8" s="285">
        <f>Taratura!$E$29</f>
        <v>194400</v>
      </c>
      <c r="H8" s="245">
        <v>1095</v>
      </c>
      <c r="I8" s="247">
        <f t="shared" si="1"/>
        <v>1977.8231486160839</v>
      </c>
      <c r="J8" s="247">
        <f>J7+I8</f>
        <v>3009.8557852233116</v>
      </c>
      <c r="L8" s="245">
        <v>1095</v>
      </c>
      <c r="M8" s="250">
        <f t="shared" si="2"/>
        <v>1.2</v>
      </c>
      <c r="N8" s="250"/>
      <c r="O8" s="250">
        <f t="shared" si="3"/>
        <v>0.6</v>
      </c>
      <c r="P8" s="249">
        <f t="shared" si="4"/>
        <v>2.6235396356468126</v>
      </c>
      <c r="Q8"/>
      <c r="R8"/>
      <c r="S8"/>
      <c r="AE8" s="4"/>
    </row>
    <row r="9" spans="3:32" s="2" customFormat="1">
      <c r="C9" s="242">
        <v>1825</v>
      </c>
      <c r="D9" s="288">
        <f t="shared" si="0"/>
        <v>11.31160229898922</v>
      </c>
      <c r="E9" s="287">
        <v>2.1989754869235041</v>
      </c>
      <c r="F9" s="285">
        <f>Taratura!$E$29</f>
        <v>194400</v>
      </c>
      <c r="H9" s="245">
        <v>1825</v>
      </c>
      <c r="I9" s="247">
        <f t="shared" si="1"/>
        <v>1880.6119276472275</v>
      </c>
      <c r="J9" s="247">
        <f t="shared" ref="J9:J19" si="5">J8+I9</f>
        <v>4890.4677128705389</v>
      </c>
      <c r="L9" s="245">
        <v>1825</v>
      </c>
      <c r="M9" s="250">
        <f t="shared" si="2"/>
        <v>1.2</v>
      </c>
      <c r="N9" s="250"/>
      <c r="O9" s="250">
        <f t="shared" si="3"/>
        <v>0.6</v>
      </c>
      <c r="P9" s="249">
        <f t="shared" si="4"/>
        <v>2.5288218099620297</v>
      </c>
      <c r="Q9"/>
      <c r="R9"/>
      <c r="S9"/>
      <c r="V9" s="5"/>
      <c r="W9" s="5"/>
      <c r="AE9" s="4"/>
    </row>
    <row r="10" spans="3:32" s="2" customFormat="1">
      <c r="C10" s="242">
        <v>2555</v>
      </c>
      <c r="D10" s="288">
        <f t="shared" si="0"/>
        <v>9.564476310620508</v>
      </c>
      <c r="E10" s="287">
        <v>1.8593341947846267</v>
      </c>
      <c r="F10" s="285">
        <f>Taratura!$E$29</f>
        <v>194400</v>
      </c>
      <c r="H10" s="245">
        <v>2555</v>
      </c>
      <c r="I10" s="247">
        <f t="shared" si="1"/>
        <v>1703.4754888969878</v>
      </c>
      <c r="J10" s="247">
        <f t="shared" si="5"/>
        <v>6593.9432017675263</v>
      </c>
      <c r="L10" s="245">
        <v>2555</v>
      </c>
      <c r="M10" s="250">
        <f t="shared" si="2"/>
        <v>1.2</v>
      </c>
      <c r="N10" s="250"/>
      <c r="O10" s="250">
        <f t="shared" si="3"/>
        <v>0.6</v>
      </c>
      <c r="P10" s="249">
        <f t="shared" si="4"/>
        <v>2.1382343240023207</v>
      </c>
      <c r="Q10"/>
      <c r="R10"/>
      <c r="S10"/>
      <c r="V10" s="5"/>
      <c r="W10" s="6"/>
      <c r="AE10" s="4"/>
    </row>
    <row r="11" spans="3:32" s="2" customFormat="1">
      <c r="C11" s="242">
        <v>3285</v>
      </c>
      <c r="D11" s="288">
        <f t="shared" si="0"/>
        <v>9.39477418433186</v>
      </c>
      <c r="E11" s="287">
        <v>1.8263441014341135</v>
      </c>
      <c r="F11" s="285">
        <f>Taratura!$E$29</f>
        <v>194400</v>
      </c>
      <c r="H11" s="245">
        <v>3285</v>
      </c>
      <c r="I11" s="247">
        <f t="shared" si="1"/>
        <v>1547.0634648378159</v>
      </c>
      <c r="J11" s="247">
        <f t="shared" si="5"/>
        <v>8141.0066666053426</v>
      </c>
      <c r="L11" s="245">
        <v>3285</v>
      </c>
      <c r="M11" s="250">
        <f t="shared" si="2"/>
        <v>1.2</v>
      </c>
      <c r="N11" s="250"/>
      <c r="O11" s="250">
        <f t="shared" si="3"/>
        <v>0.6</v>
      </c>
      <c r="P11" s="249">
        <f t="shared" si="4"/>
        <v>2.1002957166492302</v>
      </c>
      <c r="Q11"/>
      <c r="R11"/>
      <c r="S11"/>
      <c r="AE11" s="4"/>
    </row>
    <row r="12" spans="3:32" s="2" customFormat="1">
      <c r="C12" s="242">
        <v>4015</v>
      </c>
      <c r="D12" s="288">
        <f t="shared" si="0"/>
        <v>6.9733988524103454</v>
      </c>
      <c r="E12" s="287">
        <v>1.3556287369085711</v>
      </c>
      <c r="F12" s="285">
        <f>Taratura!$E$29</f>
        <v>194400</v>
      </c>
      <c r="H12" s="245">
        <v>4015</v>
      </c>
      <c r="I12" s="247">
        <f t="shared" si="1"/>
        <v>1335.6330988943416</v>
      </c>
      <c r="J12" s="247">
        <f t="shared" si="5"/>
        <v>9476.6397654996836</v>
      </c>
      <c r="L12" s="245">
        <v>4015</v>
      </c>
      <c r="M12" s="250">
        <f t="shared" si="2"/>
        <v>1.2</v>
      </c>
      <c r="N12" s="250"/>
      <c r="O12" s="250">
        <f t="shared" si="3"/>
        <v>0.6</v>
      </c>
      <c r="P12" s="249">
        <f t="shared" si="4"/>
        <v>1.5589730474448567</v>
      </c>
      <c r="Q12"/>
      <c r="R12"/>
      <c r="S12"/>
      <c r="AE12" s="4"/>
    </row>
    <row r="13" spans="3:32" s="2" customFormat="1">
      <c r="C13" s="242">
        <v>4745</v>
      </c>
      <c r="D13" s="288">
        <f t="shared" si="0"/>
        <v>6.6477181367757954</v>
      </c>
      <c r="E13" s="287">
        <v>1.2923164057892147</v>
      </c>
      <c r="F13" s="285">
        <f>Taratura!$E$29</f>
        <v>194400</v>
      </c>
      <c r="H13" s="245">
        <v>4745</v>
      </c>
      <c r="I13" s="247">
        <f t="shared" si="1"/>
        <v>1111.4749736473955</v>
      </c>
      <c r="J13" s="247">
        <f t="shared" si="5"/>
        <v>10588.114739147079</v>
      </c>
      <c r="L13" s="245">
        <v>4745</v>
      </c>
      <c r="M13" s="250">
        <f t="shared" si="2"/>
        <v>1.2</v>
      </c>
      <c r="N13" s="250"/>
      <c r="O13" s="250">
        <f t="shared" si="3"/>
        <v>0.6</v>
      </c>
      <c r="P13" s="249">
        <f t="shared" si="4"/>
        <v>1.4861638666575967</v>
      </c>
      <c r="Q13"/>
      <c r="R13"/>
      <c r="S13"/>
      <c r="AE13" s="4"/>
    </row>
    <row r="14" spans="3:32" s="2" customFormat="1">
      <c r="C14" s="242">
        <v>5475</v>
      </c>
      <c r="D14" s="288">
        <f t="shared" si="0"/>
        <v>4.2559543291971842</v>
      </c>
      <c r="E14" s="287">
        <v>0.82735752159593257</v>
      </c>
      <c r="F14" s="285">
        <f>Taratura!$E$29</f>
        <v>194400</v>
      </c>
      <c r="H14" s="245">
        <v>5475</v>
      </c>
      <c r="I14" s="247">
        <f t="shared" si="1"/>
        <v>889.7331310199155</v>
      </c>
      <c r="J14" s="247">
        <f t="shared" si="5"/>
        <v>11477.847870166994</v>
      </c>
      <c r="L14" s="245">
        <v>5475</v>
      </c>
      <c r="M14" s="250">
        <f t="shared" si="2"/>
        <v>1.2</v>
      </c>
      <c r="N14" s="250"/>
      <c r="O14" s="250">
        <f t="shared" si="3"/>
        <v>0.6</v>
      </c>
      <c r="P14" s="249">
        <f t="shared" si="4"/>
        <v>0.95146114983532237</v>
      </c>
      <c r="Q14"/>
      <c r="R14"/>
      <c r="S14"/>
      <c r="AE14" s="4"/>
    </row>
    <row r="15" spans="3:32" s="2" customFormat="1">
      <c r="C15" s="242">
        <v>6205</v>
      </c>
      <c r="D15" s="288">
        <f t="shared" si="0"/>
        <v>3.2514651084080466</v>
      </c>
      <c r="E15" s="287">
        <v>0.63208481707452424</v>
      </c>
      <c r="F15" s="285">
        <f>Taratura!$E$29</f>
        <v>194400</v>
      </c>
      <c r="H15" s="245">
        <v>6205</v>
      </c>
      <c r="I15" s="247">
        <f t="shared" si="1"/>
        <v>612.60092165692424</v>
      </c>
      <c r="J15" s="247">
        <f t="shared" si="5"/>
        <v>12090.448791823917</v>
      </c>
      <c r="L15" s="245">
        <v>6205</v>
      </c>
      <c r="M15" s="250">
        <f t="shared" si="2"/>
        <v>1.2</v>
      </c>
      <c r="N15" s="250"/>
      <c r="O15" s="250">
        <f t="shared" si="3"/>
        <v>0.6</v>
      </c>
      <c r="P15" s="249">
        <f t="shared" si="4"/>
        <v>0.72689753963570281</v>
      </c>
      <c r="Q15"/>
      <c r="R15"/>
      <c r="S15"/>
      <c r="AE15" s="4"/>
    </row>
    <row r="16" spans="3:32" s="2" customFormat="1">
      <c r="C16" s="242">
        <v>6935</v>
      </c>
      <c r="D16" s="288">
        <f t="shared" si="0"/>
        <v>2.1320297526890672</v>
      </c>
      <c r="E16" s="287">
        <v>0.41446658392275471</v>
      </c>
      <c r="F16" s="285">
        <f>Taratura!$E$29</f>
        <v>194400</v>
      </c>
      <c r="H16" s="245">
        <v>6935</v>
      </c>
      <c r="I16" s="247">
        <f t="shared" si="1"/>
        <v>439.28995056860782</v>
      </c>
      <c r="J16" s="247">
        <f t="shared" si="5"/>
        <v>12529.738742392525</v>
      </c>
      <c r="L16" s="245">
        <v>6935</v>
      </c>
      <c r="M16" s="250">
        <f t="shared" si="2"/>
        <v>1.2</v>
      </c>
      <c r="N16" s="250"/>
      <c r="O16" s="250">
        <f t="shared" si="3"/>
        <v>0.6</v>
      </c>
      <c r="P16" s="249">
        <f t="shared" si="4"/>
        <v>0.47663657151116789</v>
      </c>
      <c r="Q16"/>
      <c r="R16"/>
      <c r="S16"/>
      <c r="AE16" s="4"/>
    </row>
    <row r="17" spans="3:32" s="2" customFormat="1">
      <c r="C17" s="242">
        <v>7665</v>
      </c>
      <c r="D17" s="288">
        <f t="shared" si="0"/>
        <v>2.1320297526890672</v>
      </c>
      <c r="E17" s="287">
        <v>0.41446658392275471</v>
      </c>
      <c r="F17" s="285">
        <f>Taratura!$E$29</f>
        <v>194400</v>
      </c>
      <c r="H17" s="245">
        <v>7665</v>
      </c>
      <c r="I17" s="247">
        <f t="shared" si="1"/>
        <v>347.94469720315254</v>
      </c>
      <c r="J17" s="247">
        <f t="shared" si="5"/>
        <v>12877.683439595678</v>
      </c>
      <c r="L17" s="245">
        <v>7665</v>
      </c>
      <c r="M17" s="250">
        <f t="shared" si="2"/>
        <v>1.2</v>
      </c>
      <c r="N17" s="250"/>
      <c r="O17" s="250">
        <f t="shared" si="3"/>
        <v>0.6</v>
      </c>
      <c r="P17" s="249">
        <f t="shared" si="4"/>
        <v>0.47663657151116789</v>
      </c>
      <c r="Q17"/>
      <c r="R17"/>
      <c r="S17"/>
      <c r="AF17" s="4"/>
    </row>
    <row r="18" spans="3:32" s="2" customFormat="1">
      <c r="C18" s="242">
        <v>8395</v>
      </c>
      <c r="D18" s="288">
        <f t="shared" si="0"/>
        <v>2.1320297526890672</v>
      </c>
      <c r="E18" s="287">
        <v>0.41446658392275471</v>
      </c>
      <c r="F18" s="285">
        <f>Taratura!$E$29</f>
        <v>194400</v>
      </c>
      <c r="H18" s="245">
        <v>8395</v>
      </c>
      <c r="I18" s="247">
        <f t="shared" si="1"/>
        <v>347.94469720315254</v>
      </c>
      <c r="J18" s="247">
        <f t="shared" si="5"/>
        <v>13225.62813679883</v>
      </c>
      <c r="L18" s="245">
        <v>8395</v>
      </c>
      <c r="M18" s="250">
        <f t="shared" si="2"/>
        <v>1.2</v>
      </c>
      <c r="N18" s="250"/>
      <c r="O18" s="250">
        <f t="shared" si="3"/>
        <v>0.6</v>
      </c>
      <c r="P18" s="249">
        <f t="shared" si="4"/>
        <v>0.47663657151116789</v>
      </c>
      <c r="Q18"/>
      <c r="R18"/>
      <c r="S18"/>
      <c r="AF18" s="4"/>
    </row>
    <row r="19" spans="3:32" s="2" customFormat="1">
      <c r="C19" s="239">
        <v>8760</v>
      </c>
      <c r="D19" s="288">
        <f t="shared" si="0"/>
        <v>2.1320297526890672</v>
      </c>
      <c r="E19" s="287">
        <v>0.41446658392275471</v>
      </c>
      <c r="F19" s="285">
        <f>Taratura!$E$29</f>
        <v>194400</v>
      </c>
      <c r="H19" s="245">
        <v>8760</v>
      </c>
      <c r="I19" s="247">
        <f t="shared" si="1"/>
        <v>173.97234860157627</v>
      </c>
      <c r="J19" s="247">
        <f t="shared" si="5"/>
        <v>13399.600485400406</v>
      </c>
      <c r="L19" s="245">
        <v>8760</v>
      </c>
      <c r="M19" s="250">
        <f t="shared" si="2"/>
        <v>1.2</v>
      </c>
      <c r="N19" s="250"/>
      <c r="O19" s="250">
        <f t="shared" si="3"/>
        <v>0.6</v>
      </c>
      <c r="P19" s="249">
        <f t="shared" si="4"/>
        <v>0.47663657151116789</v>
      </c>
      <c r="Q19"/>
      <c r="R19"/>
      <c r="S19"/>
      <c r="AF19" s="4"/>
    </row>
    <row r="20" spans="3:32" s="2" customFormat="1">
      <c r="P20"/>
      <c r="Q20"/>
      <c r="R20"/>
      <c r="S20"/>
      <c r="AF20" s="4"/>
    </row>
    <row r="21" spans="3:32" s="2" customFormat="1">
      <c r="P21"/>
      <c r="Q21"/>
      <c r="R21"/>
      <c r="S21"/>
      <c r="AF21" s="4"/>
    </row>
    <row r="22" spans="3:32" s="2" customFormat="1" ht="12" customHeight="1">
      <c r="AF22" s="4"/>
    </row>
    <row r="23" spans="3:32" s="2" customFormat="1" ht="13.8">
      <c r="L23" s="493">
        <v>0</v>
      </c>
      <c r="M23" s="493">
        <v>1200</v>
      </c>
      <c r="N23" s="245"/>
      <c r="O23" s="493">
        <v>600</v>
      </c>
      <c r="P23" s="493">
        <f t="shared" ref="P23:P30" si="6">P6*1000</f>
        <v>2859.8194290670071</v>
      </c>
      <c r="AF23" s="4"/>
    </row>
    <row r="24" spans="3:32" s="2" customFormat="1" ht="13.8">
      <c r="L24" s="493">
        <v>365</v>
      </c>
      <c r="M24" s="493">
        <v>1200</v>
      </c>
      <c r="N24" s="245"/>
      <c r="O24" s="493">
        <v>600</v>
      </c>
      <c r="P24" s="493">
        <f t="shared" si="6"/>
        <v>2795.1539222054716</v>
      </c>
      <c r="AF24" s="4"/>
    </row>
    <row r="25" spans="3:32" s="2" customFormat="1" ht="13.8">
      <c r="L25" s="493">
        <v>1095</v>
      </c>
      <c r="M25" s="493">
        <v>1200</v>
      </c>
      <c r="N25" s="245"/>
      <c r="O25" s="493">
        <v>600</v>
      </c>
      <c r="P25" s="493">
        <f t="shared" si="6"/>
        <v>2623.5396356468127</v>
      </c>
      <c r="AF25" s="4"/>
    </row>
    <row r="26" spans="3:32" s="2" customFormat="1" ht="13.8">
      <c r="L26" s="493">
        <v>1825</v>
      </c>
      <c r="M26" s="493">
        <v>1200</v>
      </c>
      <c r="N26" s="245"/>
      <c r="O26" s="493">
        <v>600</v>
      </c>
      <c r="P26" s="493">
        <f t="shared" si="6"/>
        <v>2528.8218099620299</v>
      </c>
      <c r="AF26" s="4"/>
    </row>
    <row r="27" spans="3:32" s="2" customFormat="1" ht="13.8">
      <c r="L27" s="493">
        <v>2555</v>
      </c>
      <c r="M27" s="493">
        <v>1200</v>
      </c>
      <c r="N27" s="245"/>
      <c r="O27" s="493">
        <v>600</v>
      </c>
      <c r="P27" s="493">
        <f t="shared" si="6"/>
        <v>2138.2343240023206</v>
      </c>
      <c r="AF27" s="4"/>
    </row>
    <row r="28" spans="3:32" s="2" customFormat="1" ht="13.8">
      <c r="L28" s="493">
        <v>3285</v>
      </c>
      <c r="M28" s="493">
        <v>1200</v>
      </c>
      <c r="N28" s="245"/>
      <c r="O28" s="493">
        <v>600</v>
      </c>
      <c r="P28" s="493">
        <f t="shared" si="6"/>
        <v>2100.2957166492301</v>
      </c>
      <c r="AF28" s="4"/>
    </row>
    <row r="29" spans="3:32" s="2" customFormat="1" ht="13.8">
      <c r="L29" s="493">
        <v>4015</v>
      </c>
      <c r="M29" s="493">
        <v>1200</v>
      </c>
      <c r="N29" s="245"/>
      <c r="O29" s="493">
        <v>600</v>
      </c>
      <c r="P29" s="493">
        <f t="shared" si="6"/>
        <v>1558.9730474448565</v>
      </c>
      <c r="AF29" s="4"/>
    </row>
    <row r="30" spans="3:32" s="2" customFormat="1" ht="13.8">
      <c r="L30" s="493">
        <v>4745</v>
      </c>
      <c r="M30" s="493">
        <v>1200</v>
      </c>
      <c r="N30" s="245"/>
      <c r="O30" s="493">
        <v>600</v>
      </c>
      <c r="P30" s="493">
        <f t="shared" si="6"/>
        <v>1486.1638666575966</v>
      </c>
      <c r="AF30" s="4"/>
    </row>
    <row r="31" spans="3:32" s="2" customFormat="1" ht="13.8">
      <c r="L31" s="493">
        <v>5136</v>
      </c>
      <c r="M31" s="493">
        <v>1200</v>
      </c>
      <c r="N31" s="245"/>
      <c r="O31" s="493">
        <v>600</v>
      </c>
      <c r="P31" s="493">
        <v>1200</v>
      </c>
      <c r="AF31" s="4"/>
    </row>
    <row r="32" spans="3:32" s="2" customFormat="1" ht="13.8">
      <c r="L32" s="493">
        <v>5475</v>
      </c>
      <c r="M32" s="493">
        <f>P14*1000</f>
        <v>951.46114983532232</v>
      </c>
      <c r="N32" s="245"/>
      <c r="O32" s="493">
        <v>600</v>
      </c>
      <c r="P32" s="493">
        <f>P14*1000</f>
        <v>951.46114983532232</v>
      </c>
      <c r="AF32" s="4"/>
    </row>
    <row r="33" spans="12:32" s="2" customFormat="1" ht="13.8">
      <c r="L33" s="493">
        <v>6205</v>
      </c>
      <c r="M33" s="493">
        <f>P15*1000</f>
        <v>726.89753963570286</v>
      </c>
      <c r="N33" s="245"/>
      <c r="O33" s="493">
        <v>600</v>
      </c>
      <c r="P33" s="493">
        <f>P15*1000</f>
        <v>726.89753963570286</v>
      </c>
      <c r="AF33" s="4"/>
    </row>
    <row r="34" spans="12:32" s="2" customFormat="1" ht="13.8">
      <c r="L34" s="493">
        <v>6575</v>
      </c>
      <c r="M34" s="493">
        <v>600</v>
      </c>
      <c r="N34" s="245"/>
      <c r="O34" s="493">
        <v>600</v>
      </c>
      <c r="P34" s="493">
        <v>600</v>
      </c>
      <c r="AF34" s="4"/>
    </row>
    <row r="35" spans="12:32" s="2" customFormat="1" ht="13.8">
      <c r="L35" s="493">
        <v>6935</v>
      </c>
      <c r="M35" s="493"/>
      <c r="N35" s="245"/>
      <c r="O35" s="493">
        <f>P16*1000</f>
        <v>476.63657151116792</v>
      </c>
      <c r="P35" s="493">
        <f>P16*1000</f>
        <v>476.63657151116792</v>
      </c>
      <c r="AF35" s="4"/>
    </row>
    <row r="36" spans="12:32" s="2" customFormat="1" ht="13.8">
      <c r="L36" s="493">
        <v>7665</v>
      </c>
      <c r="M36" s="493"/>
      <c r="N36" s="245"/>
      <c r="O36" s="493">
        <f>P17*1000</f>
        <v>476.63657151116792</v>
      </c>
      <c r="P36" s="493">
        <f>P17*1000</f>
        <v>476.63657151116792</v>
      </c>
      <c r="AF36" s="4"/>
    </row>
    <row r="37" spans="12:32" s="2" customFormat="1" ht="13.8">
      <c r="L37" s="493">
        <v>8395</v>
      </c>
      <c r="M37" s="493"/>
      <c r="N37" s="245"/>
      <c r="O37" s="493">
        <f>P18*1000</f>
        <v>476.63657151116792</v>
      </c>
      <c r="P37" s="493">
        <f>P18*1000</f>
        <v>476.63657151116792</v>
      </c>
      <c r="AF37" s="4"/>
    </row>
    <row r="38" spans="12:32" s="2" customFormat="1" ht="13.8">
      <c r="L38" s="493">
        <v>8760</v>
      </c>
      <c r="M38" s="493"/>
      <c r="N38" s="245"/>
      <c r="O38" s="493">
        <f>P19*1000</f>
        <v>476.63657151116792</v>
      </c>
      <c r="P38" s="493">
        <f>P19*1000</f>
        <v>476.63657151116792</v>
      </c>
      <c r="AF38" s="4"/>
    </row>
    <row r="39" spans="12:32" s="2" customFormat="1" ht="13.8">
      <c r="AF39" s="4"/>
    </row>
    <row r="40" spans="12:32" s="2" customFormat="1" ht="13.8">
      <c r="AF40" s="4"/>
    </row>
    <row r="41" spans="12:32" s="2" customFormat="1" ht="13.8">
      <c r="AF41" s="4"/>
    </row>
    <row r="42" spans="12:32" s="2" customFormat="1" ht="13.8">
      <c r="AF42" s="4"/>
    </row>
    <row r="43" spans="12:32" s="2" customFormat="1" ht="13.8">
      <c r="AF43" s="4"/>
    </row>
    <row r="44" spans="12:32" s="2" customFormat="1" ht="13.8">
      <c r="AF44" s="4"/>
    </row>
    <row r="45" spans="12:32" s="2" customFormat="1" ht="13.8">
      <c r="AF45" s="4"/>
    </row>
    <row r="46" spans="12:32" s="2" customFormat="1" ht="13.8">
      <c r="AF46" s="4"/>
    </row>
    <row r="47" spans="12:32" s="2" customFormat="1" ht="13.8">
      <c r="AF47" s="4"/>
    </row>
    <row r="48" spans="12:32" s="2" customFormat="1" ht="13.8">
      <c r="AF48" s="4"/>
    </row>
    <row r="49" spans="2:32" s="2" customFormat="1" ht="13.8">
      <c r="AF49" s="4"/>
    </row>
    <row r="50" spans="2:32" s="2" customFormat="1" ht="13.8">
      <c r="AF50" s="4"/>
    </row>
    <row r="51" spans="2:32" s="2" customFormat="1" ht="13.8">
      <c r="AF51" s="4"/>
    </row>
    <row r="52" spans="2:32" s="2" customFormat="1" ht="13.8">
      <c r="AF52" s="4"/>
    </row>
    <row r="53" spans="2:32" s="2" customFormat="1" ht="13.8">
      <c r="AF53" s="4"/>
    </row>
    <row r="54" spans="2:32" s="2" customFormat="1" thickBot="1">
      <c r="AF54" s="4"/>
    </row>
    <row r="55" spans="2:32" s="2" customFormat="1" ht="12.75" customHeight="1">
      <c r="B55" s="554"/>
      <c r="C55" s="557"/>
      <c r="D55" s="558"/>
      <c r="E55" s="558"/>
      <c r="F55" s="558"/>
      <c r="G55" s="558"/>
      <c r="H55" s="558"/>
      <c r="I55" s="558"/>
      <c r="J55" s="558"/>
      <c r="K55" s="558"/>
      <c r="L55" s="558"/>
      <c r="M55" s="558"/>
      <c r="N55" s="558"/>
      <c r="O55" s="558"/>
      <c r="P55" s="558"/>
      <c r="Q55" s="558"/>
      <c r="R55" s="558"/>
      <c r="S55" s="558"/>
      <c r="T55" s="558"/>
      <c r="U55" s="558"/>
      <c r="V55" s="558"/>
      <c r="W55" s="558"/>
      <c r="X55" s="559"/>
      <c r="AF55" s="4"/>
    </row>
    <row r="56" spans="2:32" s="2" customFormat="1" ht="12.75" customHeight="1">
      <c r="B56" s="555"/>
      <c r="C56" s="560"/>
      <c r="D56" s="561"/>
      <c r="E56" s="561"/>
      <c r="F56" s="561"/>
      <c r="G56" s="561"/>
      <c r="H56" s="561"/>
      <c r="I56" s="561"/>
      <c r="J56" s="561"/>
      <c r="K56" s="561"/>
      <c r="L56" s="561"/>
      <c r="M56" s="561"/>
      <c r="N56" s="561"/>
      <c r="O56" s="561"/>
      <c r="P56" s="561"/>
      <c r="Q56" s="561"/>
      <c r="R56" s="561"/>
      <c r="S56" s="561"/>
      <c r="T56" s="561"/>
      <c r="U56" s="561"/>
      <c r="V56" s="561"/>
      <c r="W56" s="561"/>
      <c r="X56" s="562"/>
      <c r="AF56" s="4"/>
    </row>
    <row r="57" spans="2:32" s="2" customFormat="1" ht="12.75" customHeight="1">
      <c r="B57" s="555"/>
      <c r="C57" s="560"/>
      <c r="D57" s="561"/>
      <c r="E57" s="561"/>
      <c r="F57" s="561"/>
      <c r="G57" s="561"/>
      <c r="H57" s="561"/>
      <c r="I57" s="561"/>
      <c r="J57" s="561"/>
      <c r="K57" s="561"/>
      <c r="L57" s="561"/>
      <c r="M57" s="561"/>
      <c r="N57" s="561"/>
      <c r="O57" s="561"/>
      <c r="P57" s="561"/>
      <c r="Q57" s="561"/>
      <c r="R57" s="561"/>
      <c r="S57" s="561"/>
      <c r="T57" s="561"/>
      <c r="U57" s="561"/>
      <c r="V57" s="561"/>
      <c r="W57" s="561"/>
      <c r="X57" s="562"/>
      <c r="AF57" s="4"/>
    </row>
    <row r="58" spans="2:32" s="2" customFormat="1" ht="13.8">
      <c r="B58" s="555"/>
      <c r="C58" s="8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88"/>
      <c r="AF58" s="4"/>
    </row>
    <row r="59" spans="2:32" s="2" customFormat="1" ht="15.75" customHeight="1">
      <c r="B59" s="555"/>
      <c r="C59" s="113"/>
      <c r="D59" s="67"/>
      <c r="E59" s="67"/>
      <c r="F59" s="67"/>
      <c r="G59" s="563" t="s">
        <v>14</v>
      </c>
      <c r="H59" s="563"/>
      <c r="I59" s="563"/>
      <c r="J59" s="563"/>
      <c r="K59" s="67"/>
      <c r="L59" s="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114"/>
      <c r="AF59" s="4"/>
    </row>
    <row r="60" spans="2:32" s="2" customFormat="1" ht="13.5" customHeight="1">
      <c r="B60" s="555"/>
      <c r="C60" s="113"/>
      <c r="D60" s="115" t="s">
        <v>90</v>
      </c>
      <c r="E60" s="67"/>
      <c r="F60" s="67"/>
      <c r="G60" s="564" t="s">
        <v>45</v>
      </c>
      <c r="H60" s="564"/>
      <c r="I60" s="564"/>
      <c r="J60" s="564"/>
      <c r="K60" s="67"/>
      <c r="L60" s="7"/>
      <c r="M60" s="7"/>
      <c r="N60" s="7"/>
      <c r="O60" s="7"/>
      <c r="P60" s="7"/>
      <c r="Q60" s="7"/>
      <c r="R60" s="7"/>
      <c r="S60" s="7"/>
      <c r="T60" s="67"/>
      <c r="U60" s="67"/>
      <c r="V60" s="67"/>
      <c r="W60" s="67"/>
      <c r="X60" s="114"/>
      <c r="AF60" s="4"/>
    </row>
    <row r="61" spans="2:32" s="2" customFormat="1" ht="29.25" customHeight="1">
      <c r="B61" s="555"/>
      <c r="C61" s="113"/>
      <c r="D61" s="131">
        <v>0.9</v>
      </c>
      <c r="E61" s="156"/>
      <c r="F61" s="1"/>
      <c r="G61" s="565" t="s">
        <v>16</v>
      </c>
      <c r="H61" s="565"/>
      <c r="I61" s="565"/>
      <c r="J61" s="565"/>
      <c r="K61" s="68"/>
      <c r="L61" s="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114"/>
      <c r="AF61" s="4"/>
    </row>
    <row r="62" spans="2:32" s="2" customFormat="1" thickBot="1">
      <c r="B62" s="555"/>
      <c r="C62" s="113"/>
      <c r="D62" s="67"/>
      <c r="E62" s="67"/>
      <c r="F62" s="67"/>
      <c r="G62" s="67"/>
      <c r="H62" s="67"/>
      <c r="I62" s="67"/>
      <c r="J62" s="67"/>
      <c r="K62" s="67"/>
      <c r="L62" s="152" t="s">
        <v>93</v>
      </c>
      <c r="M62" s="152" t="s">
        <v>94</v>
      </c>
      <c r="N62" s="266"/>
      <c r="O62" s="7"/>
      <c r="P62" s="67"/>
      <c r="Q62" s="67"/>
      <c r="R62" s="67"/>
      <c r="S62" s="67"/>
      <c r="T62" s="67"/>
      <c r="U62" s="67"/>
      <c r="V62" s="67"/>
      <c r="W62" s="67"/>
      <c r="X62" s="114"/>
      <c r="AF62" s="4"/>
    </row>
    <row r="63" spans="2:32" s="2" customFormat="1" thickBot="1">
      <c r="B63" s="555"/>
      <c r="C63" s="113"/>
      <c r="D63" s="67"/>
      <c r="E63" s="133" t="s">
        <v>92</v>
      </c>
      <c r="F63" s="67"/>
      <c r="G63" s="67"/>
      <c r="H63" s="67"/>
      <c r="I63" s="116"/>
      <c r="J63" s="67"/>
      <c r="K63" s="67"/>
      <c r="L63" s="11">
        <v>300</v>
      </c>
      <c r="M63" s="155">
        <f>((L63*N86+L63*N87)/1000)*D61</f>
        <v>4140.45</v>
      </c>
      <c r="N63" s="295"/>
      <c r="O63" s="135"/>
      <c r="P63" s="67"/>
      <c r="Q63" s="7"/>
      <c r="R63" s="67"/>
      <c r="S63" s="67"/>
      <c r="T63" s="67"/>
      <c r="U63" s="67"/>
      <c r="V63" s="67"/>
      <c r="W63" s="67"/>
      <c r="X63" s="114"/>
      <c r="AF63" s="4"/>
    </row>
    <row r="64" spans="2:32" s="2" customFormat="1" thickBot="1">
      <c r="B64" s="555"/>
      <c r="C64" s="113"/>
      <c r="D64" s="67" t="s">
        <v>17</v>
      </c>
      <c r="E64" s="134">
        <f>(L63+L73)/F68</f>
        <v>1111.1111111111111</v>
      </c>
      <c r="F64" s="67"/>
      <c r="G64" s="67"/>
      <c r="H64" s="67"/>
      <c r="I64" s="251"/>
      <c r="J64" s="67"/>
      <c r="K64" s="67"/>
      <c r="L64" s="67"/>
      <c r="M64" s="12"/>
      <c r="N64" s="67"/>
      <c r="O64" s="67"/>
      <c r="P64" s="137" t="s">
        <v>18</v>
      </c>
      <c r="Q64" s="7"/>
      <c r="R64" s="67"/>
      <c r="S64" s="67"/>
      <c r="T64" s="67"/>
      <c r="U64" s="67"/>
      <c r="V64" s="67"/>
      <c r="W64" s="67"/>
      <c r="X64" s="114"/>
      <c r="AF64" s="4"/>
    </row>
    <row r="65" spans="2:32" s="2" customFormat="1" thickBot="1">
      <c r="B65" s="555"/>
      <c r="C65" s="113"/>
      <c r="D65" s="566" t="s">
        <v>53</v>
      </c>
      <c r="E65" s="116" t="s">
        <v>97</v>
      </c>
      <c r="F65" s="67"/>
      <c r="G65" s="67"/>
      <c r="H65" s="67"/>
      <c r="I65" s="252"/>
      <c r="J65" s="67"/>
      <c r="K65" s="67"/>
      <c r="L65" s="67"/>
      <c r="M65" s="67"/>
      <c r="N65" s="67"/>
      <c r="O65" s="67"/>
      <c r="P65" s="138">
        <f>M63/E66</f>
        <v>0.27</v>
      </c>
      <c r="Q65" s="67"/>
      <c r="R65" s="67"/>
      <c r="S65" s="7"/>
      <c r="T65" s="67"/>
      <c r="U65" s="67"/>
      <c r="V65" s="67"/>
      <c r="W65" s="67"/>
      <c r="X65" s="114"/>
      <c r="AF65" s="4"/>
    </row>
    <row r="66" spans="2:32" s="2" customFormat="1" thickBot="1">
      <c r="B66" s="555"/>
      <c r="C66" s="113"/>
      <c r="D66" s="566"/>
      <c r="E66" s="134">
        <f>M63/E93</f>
        <v>15334.999999999998</v>
      </c>
      <c r="F66" s="10"/>
      <c r="G66" s="67"/>
      <c r="H66" s="67"/>
      <c r="I66" s="253"/>
      <c r="J66" s="67"/>
      <c r="K66" s="67"/>
      <c r="L66" s="67"/>
      <c r="M66" s="67"/>
      <c r="N66" s="67"/>
      <c r="O66" s="67"/>
      <c r="P66" s="67"/>
      <c r="Q66" s="67"/>
      <c r="R66" s="67"/>
      <c r="S66" s="7"/>
      <c r="T66" s="67"/>
      <c r="U66" s="7"/>
      <c r="V66" s="7"/>
      <c r="W66" s="67"/>
      <c r="X66" s="114"/>
      <c r="AF66" s="4"/>
    </row>
    <row r="67" spans="2:32" s="2" customFormat="1" ht="23.4">
      <c r="B67" s="555"/>
      <c r="C67" s="113"/>
      <c r="D67" s="566"/>
      <c r="E67" s="67"/>
      <c r="F67" s="152" t="s">
        <v>167</v>
      </c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117" t="s">
        <v>2</v>
      </c>
      <c r="R67" s="154">
        <f>1-(1/((P65/D77)+(P69/D80)))</f>
        <v>0.27047076411250093</v>
      </c>
      <c r="S67" s="7"/>
      <c r="T67" s="290"/>
      <c r="U67" s="291"/>
      <c r="V67" s="160"/>
      <c r="W67" s="290"/>
      <c r="X67" s="114"/>
      <c r="AF67" s="4"/>
    </row>
    <row r="68" spans="2:32" s="2" customFormat="1" ht="23.4">
      <c r="B68" s="555"/>
      <c r="C68" s="113"/>
      <c r="D68" s="566"/>
      <c r="E68" s="67"/>
      <c r="F68" s="132">
        <v>0.81</v>
      </c>
      <c r="G68" s="67"/>
      <c r="H68" s="67"/>
      <c r="I68" s="116"/>
      <c r="J68" s="67"/>
      <c r="K68" s="67"/>
      <c r="L68" s="67"/>
      <c r="M68" s="67"/>
      <c r="N68" s="67"/>
      <c r="O68" s="67"/>
      <c r="P68" s="118" t="s">
        <v>20</v>
      </c>
      <c r="Q68" s="67"/>
      <c r="R68" s="140"/>
      <c r="S68" s="7"/>
      <c r="T68" s="292"/>
      <c r="U68" s="291"/>
      <c r="V68" s="290"/>
      <c r="W68" s="292"/>
      <c r="X68" s="88"/>
      <c r="AF68" s="4"/>
    </row>
    <row r="69" spans="2:32" s="2" customFormat="1" ht="13.8">
      <c r="B69" s="555"/>
      <c r="C69" s="113"/>
      <c r="D69" s="566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7"/>
      <c r="P69" s="139">
        <f>M73/E66</f>
        <v>0.49590122996673358</v>
      </c>
      <c r="Q69" s="67"/>
      <c r="R69" s="67"/>
      <c r="S69" s="7"/>
      <c r="T69" s="293"/>
      <c r="U69" s="290"/>
      <c r="V69" s="290"/>
      <c r="W69" s="294"/>
      <c r="X69" s="88"/>
      <c r="AF69" s="4"/>
    </row>
    <row r="70" spans="2:32" s="2" customFormat="1" ht="13.8">
      <c r="B70" s="555"/>
      <c r="C70" s="113"/>
      <c r="D70" s="566"/>
      <c r="E70" s="67"/>
      <c r="F70" s="67"/>
      <c r="G70" s="67"/>
      <c r="H70" s="67"/>
      <c r="I70" s="7"/>
      <c r="J70" s="67"/>
      <c r="K70" s="67"/>
      <c r="L70" s="67"/>
      <c r="M70" s="67"/>
      <c r="N70" s="67"/>
      <c r="O70" s="67"/>
      <c r="P70" s="67"/>
      <c r="Q70" s="7"/>
      <c r="R70" s="67"/>
      <c r="S70" s="7"/>
      <c r="T70" s="290"/>
      <c r="U70" s="160"/>
      <c r="V70" s="160"/>
      <c r="W70" s="160"/>
      <c r="X70" s="88"/>
      <c r="AF70" s="4"/>
    </row>
    <row r="71" spans="2:32" s="2" customFormat="1">
      <c r="B71" s="555"/>
      <c r="C71" s="113"/>
      <c r="D71" s="119"/>
      <c r="E71" s="67"/>
      <c r="F71" s="67"/>
      <c r="G71" s="67"/>
      <c r="H71" s="67"/>
      <c r="I71" s="7"/>
      <c r="J71" s="67"/>
      <c r="K71" s="67"/>
      <c r="L71" s="67"/>
      <c r="M71" s="67"/>
      <c r="N71" s="67"/>
      <c r="O71" s="67"/>
      <c r="P71" s="1"/>
      <c r="Q71" s="7"/>
      <c r="R71" s="7"/>
      <c r="S71" s="7"/>
      <c r="T71" s="160"/>
      <c r="U71" s="160"/>
      <c r="V71" s="160"/>
      <c r="W71" s="290"/>
      <c r="X71" s="114"/>
      <c r="AF71" s="4"/>
    </row>
    <row r="72" spans="2:32" s="2" customFormat="1" ht="15.75" customHeight="1" thickBot="1">
      <c r="B72" s="555"/>
      <c r="C72" s="113"/>
      <c r="D72" s="567" t="s">
        <v>23</v>
      </c>
      <c r="E72" s="67"/>
      <c r="F72" s="67"/>
      <c r="G72" s="67"/>
      <c r="H72" s="67"/>
      <c r="I72" s="67"/>
      <c r="J72" s="67"/>
      <c r="K72" s="67"/>
      <c r="L72" s="152" t="s">
        <v>95</v>
      </c>
      <c r="M72" s="152" t="s">
        <v>96</v>
      </c>
      <c r="N72" s="266"/>
      <c r="O72" s="7"/>
      <c r="P72" s="563" t="s">
        <v>21</v>
      </c>
      <c r="Q72" s="563"/>
      <c r="R72" s="563"/>
      <c r="S72" s="67"/>
      <c r="T72" s="160"/>
      <c r="U72" s="160"/>
      <c r="V72" s="160"/>
      <c r="W72" s="290"/>
      <c r="X72" s="114"/>
      <c r="AF72" s="4"/>
    </row>
    <row r="73" spans="2:32" s="2" customFormat="1" ht="15.75" customHeight="1" thickBot="1">
      <c r="B73" s="555"/>
      <c r="C73" s="113"/>
      <c r="D73" s="567"/>
      <c r="E73" s="67"/>
      <c r="F73" s="67"/>
      <c r="G73" s="67"/>
      <c r="H73" s="67"/>
      <c r="I73" s="67"/>
      <c r="J73" s="67"/>
      <c r="K73" s="67"/>
      <c r="L73" s="11">
        <v>600</v>
      </c>
      <c r="M73" s="136">
        <f>((L73*K87+L73*K91)/1000+M107+P107)*D61</f>
        <v>7604.6453615398586</v>
      </c>
      <c r="N73" s="296"/>
      <c r="O73" s="10"/>
      <c r="P73" s="568" t="s">
        <v>22</v>
      </c>
      <c r="Q73" s="568"/>
      <c r="R73" s="568"/>
      <c r="S73" s="67">
        <f>MATCH(P73,'TABELLE&amp;REG.DEL.UE 2015 24'!R3:T3,0)</f>
        <v>1</v>
      </c>
      <c r="T73" s="160"/>
      <c r="U73" s="160"/>
      <c r="V73" s="160"/>
      <c r="W73" s="290"/>
      <c r="X73" s="114"/>
      <c r="AF73" s="4"/>
    </row>
    <row r="74" spans="2:32" s="2" customFormat="1" ht="15.6" thickBot="1">
      <c r="B74" s="555"/>
      <c r="C74" s="113"/>
      <c r="D74" s="567"/>
      <c r="E74" s="67"/>
      <c r="F74" s="67"/>
      <c r="G74" s="67"/>
      <c r="H74" s="150" t="s">
        <v>24</v>
      </c>
      <c r="I74" s="115"/>
      <c r="J74" s="115" t="s">
        <v>25</v>
      </c>
      <c r="K74" s="67"/>
      <c r="L74" s="67"/>
      <c r="M74" s="67"/>
      <c r="N74" s="67"/>
      <c r="O74" s="67"/>
      <c r="P74" s="67"/>
      <c r="Q74" s="7"/>
      <c r="R74" s="67"/>
      <c r="S74" s="67"/>
      <c r="T74" s="67"/>
      <c r="U74" s="67"/>
      <c r="V74" s="67"/>
      <c r="W74" s="67"/>
      <c r="X74" s="114"/>
      <c r="AF74" s="4"/>
    </row>
    <row r="75" spans="2:32" s="2" customFormat="1" ht="16.5" customHeight="1" thickBot="1">
      <c r="B75" s="555"/>
      <c r="C75" s="113"/>
      <c r="D75" s="67"/>
      <c r="E75" s="67"/>
      <c r="F75" s="67"/>
      <c r="G75" s="67"/>
      <c r="H75" s="13">
        <f>(M63+M73)/E66</f>
        <v>0.7659012299667336</v>
      </c>
      <c r="I75" s="151" t="s">
        <v>26</v>
      </c>
      <c r="J75" s="14">
        <f>VLOOKUP(G60,'TABELLE&amp;REG.DEL.UE 2015 24'!B3:C14,2,FALSE)</f>
        <v>0.75</v>
      </c>
      <c r="K75" s="67"/>
      <c r="L75"/>
      <c r="M75"/>
      <c r="N75"/>
      <c r="O75" s="120"/>
      <c r="P75" s="120"/>
      <c r="Q75" s="120"/>
      <c r="R75" s="120"/>
      <c r="S75" s="67"/>
      <c r="T75" s="67"/>
      <c r="U75" s="67"/>
      <c r="V75" s="67"/>
      <c r="W75" s="67"/>
      <c r="X75" s="114"/>
      <c r="AF75" s="4"/>
    </row>
    <row r="76" spans="2:32" s="2" customFormat="1" ht="15" customHeight="1">
      <c r="B76" s="555"/>
      <c r="C76" s="113"/>
      <c r="D76" s="121" t="s">
        <v>27</v>
      </c>
      <c r="E76" s="67"/>
      <c r="F76" s="67"/>
      <c r="G76" s="67"/>
      <c r="H76" s="15"/>
      <c r="I76" s="67"/>
      <c r="J76" s="67"/>
      <c r="K76" s="67"/>
      <c r="L76"/>
      <c r="M76"/>
      <c r="N76"/>
      <c r="O76"/>
      <c r="P76" s="120"/>
      <c r="Q76" s="120"/>
      <c r="R76" s="120"/>
      <c r="S76" s="1"/>
      <c r="T76" s="119"/>
      <c r="U76" s="119"/>
      <c r="V76" s="119"/>
      <c r="W76" s="119"/>
      <c r="X76" s="122"/>
      <c r="AF76" s="4"/>
    </row>
    <row r="77" spans="2:32" s="2" customFormat="1">
      <c r="B77" s="555"/>
      <c r="C77" s="113"/>
      <c r="D77" s="141">
        <v>0.34</v>
      </c>
      <c r="E77" s="67"/>
      <c r="F77" s="67"/>
      <c r="G77" s="67"/>
      <c r="H77" s="67"/>
      <c r="I77" s="67"/>
      <c r="J77" s="67"/>
      <c r="K77" s="67"/>
      <c r="L77"/>
      <c r="M77"/>
      <c r="N77"/>
      <c r="O77"/>
      <c r="P77" s="120"/>
      <c r="Q77" s="120"/>
      <c r="R77" s="120"/>
      <c r="S77" s="1"/>
      <c r="T77" s="119"/>
      <c r="U77" s="119"/>
      <c r="V77" s="119"/>
      <c r="W77" s="119"/>
      <c r="X77" s="122"/>
      <c r="AF77" s="4"/>
    </row>
    <row r="78" spans="2:32" s="2" customFormat="1">
      <c r="B78" s="555"/>
      <c r="C78" s="113"/>
      <c r="D78" s="67"/>
      <c r="E78" s="67"/>
      <c r="F78" s="67"/>
      <c r="G78" s="67"/>
      <c r="H78" s="67"/>
      <c r="I78" s="67"/>
      <c r="J78" s="67"/>
      <c r="K78" s="67"/>
      <c r="L78"/>
      <c r="M78"/>
      <c r="N78"/>
      <c r="O78"/>
      <c r="P78" s="120"/>
      <c r="Q78" s="120"/>
      <c r="R78" s="120"/>
      <c r="S78" s="1"/>
      <c r="T78" s="119"/>
      <c r="U78" s="119"/>
      <c r="V78" s="119"/>
      <c r="W78" s="119"/>
      <c r="X78" s="122"/>
      <c r="AF78" s="4"/>
    </row>
    <row r="79" spans="2:32" s="2" customFormat="1" ht="15">
      <c r="B79" s="555"/>
      <c r="C79" s="113"/>
      <c r="D79" s="142" t="s">
        <v>28</v>
      </c>
      <c r="E79" s="67"/>
      <c r="F79" s="67"/>
      <c r="G79" s="67"/>
      <c r="H79" s="67"/>
      <c r="I79" s="67"/>
      <c r="J79" s="67"/>
      <c r="K79" s="67"/>
      <c r="L79" s="120"/>
      <c r="M79" s="120"/>
      <c r="N79" s="120"/>
      <c r="O79" s="120"/>
      <c r="P79" s="120"/>
      <c r="Q79" s="120"/>
      <c r="R79" s="120"/>
      <c r="S79" s="1"/>
      <c r="T79" s="119"/>
      <c r="U79" s="119"/>
      <c r="V79" s="119"/>
      <c r="W79" s="119"/>
      <c r="X79" s="122"/>
      <c r="AF79" s="4"/>
    </row>
    <row r="80" spans="2:32" s="2" customFormat="1">
      <c r="B80" s="555"/>
      <c r="C80" s="113"/>
      <c r="D80" s="143">
        <f>VLOOKUP(D65,'TABELLE&amp;REG.DEL.UE 2015 24'!N4:T21,4+S73,FALSE)</f>
        <v>0.86</v>
      </c>
      <c r="E80" s="67"/>
      <c r="F80" s="67"/>
      <c r="G80" s="67"/>
      <c r="H80" s="67"/>
      <c r="I80" s="67"/>
      <c r="J80" s="67"/>
      <c r="K80" s="67"/>
      <c r="L80" s="120"/>
      <c r="M80" s="120"/>
      <c r="N80" s="120"/>
      <c r="O80" s="120"/>
      <c r="P80" s="120"/>
      <c r="Q80" s="120"/>
      <c r="R80" s="1"/>
      <c r="S80" s="1"/>
      <c r="T80" s="1"/>
      <c r="U80" s="1"/>
      <c r="V80" s="1"/>
      <c r="W80" s="1"/>
      <c r="X80" s="123"/>
      <c r="Y80"/>
      <c r="Z80"/>
      <c r="AA80"/>
      <c r="AF80" s="4"/>
    </row>
    <row r="81" spans="2:32" s="2" customFormat="1">
      <c r="B81" s="555"/>
      <c r="C81" s="113"/>
      <c r="D81" s="67"/>
      <c r="E81" s="67"/>
      <c r="F81" s="67"/>
      <c r="G81" s="67"/>
      <c r="H81" s="67"/>
      <c r="I81" s="67"/>
      <c r="J81" s="67"/>
      <c r="K81" s="67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23"/>
      <c r="Y81"/>
      <c r="Z81"/>
      <c r="AA81"/>
      <c r="AF81" s="4"/>
    </row>
    <row r="82" spans="2:32" s="2" customFormat="1">
      <c r="B82" s="555"/>
      <c r="C82" s="86"/>
      <c r="D82" s="7"/>
      <c r="E82" s="1"/>
      <c r="F82" s="1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V82" s="1"/>
      <c r="W82" s="1"/>
      <c r="X82" s="123"/>
      <c r="Y82"/>
      <c r="Z82"/>
      <c r="AA82"/>
      <c r="AF82" s="4"/>
    </row>
    <row r="83" spans="2:32" s="2" customFormat="1" ht="15" thickBot="1">
      <c r="B83" s="555"/>
      <c r="C83" s="86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V83" s="1"/>
      <c r="W83" s="1"/>
      <c r="X83" s="123"/>
      <c r="Y83"/>
      <c r="Z83"/>
      <c r="AA83"/>
      <c r="AF83" s="4"/>
    </row>
    <row r="84" spans="2:32" s="2" customFormat="1" ht="15.75" customHeight="1">
      <c r="B84" s="555"/>
      <c r="C84" s="86"/>
      <c r="D84" s="503" t="s">
        <v>111</v>
      </c>
      <c r="E84" s="504"/>
      <c r="F84" s="504"/>
      <c r="G84" s="504"/>
      <c r="H84" s="505"/>
      <c r="J84" s="7"/>
      <c r="K84" s="553" t="s">
        <v>186</v>
      </c>
      <c r="L84" s="553"/>
      <c r="M84" s="7"/>
      <c r="N84" s="553" t="s">
        <v>187</v>
      </c>
      <c r="O84" s="553"/>
      <c r="P84" s="162"/>
      <c r="R84" s="569"/>
      <c r="S84" s="569"/>
      <c r="T84" s="569"/>
      <c r="U84" s="569"/>
      <c r="V84" s="1"/>
      <c r="W84" s="1"/>
      <c r="X84" s="123"/>
      <c r="Y84"/>
      <c r="Z84"/>
      <c r="AA84"/>
      <c r="AF84" s="4"/>
    </row>
    <row r="85" spans="2:32" s="2" customFormat="1" ht="15" thickBot="1">
      <c r="B85" s="555"/>
      <c r="C85" s="86"/>
      <c r="D85" s="103"/>
      <c r="E85" s="7"/>
      <c r="F85" s="7"/>
      <c r="G85" s="7"/>
      <c r="H85" s="104"/>
      <c r="K85" s="69" t="s">
        <v>117</v>
      </c>
      <c r="L85" s="127" t="s">
        <v>118</v>
      </c>
      <c r="M85" s="7"/>
      <c r="N85" s="303" t="s">
        <v>117</v>
      </c>
      <c r="O85" s="304" t="s">
        <v>118</v>
      </c>
      <c r="P85" s="129"/>
      <c r="R85" s="160"/>
      <c r="S85" s="323"/>
      <c r="T85" s="160"/>
      <c r="U85" s="160"/>
      <c r="V85" s="1"/>
      <c r="W85" s="1"/>
      <c r="X85" s="123"/>
      <c r="Y85"/>
      <c r="Z85"/>
      <c r="AA85"/>
      <c r="AF85" s="4"/>
    </row>
    <row r="86" spans="2:32" s="2" customFormat="1">
      <c r="B86" s="555"/>
      <c r="C86" s="86"/>
      <c r="D86" s="501" t="s">
        <v>104</v>
      </c>
      <c r="E86" s="502"/>
      <c r="F86" s="7"/>
      <c r="G86" s="501" t="s">
        <v>103</v>
      </c>
      <c r="H86" s="502"/>
      <c r="K86" s="70">
        <f>C15</f>
        <v>6205</v>
      </c>
      <c r="L86" s="71">
        <f>P15</f>
        <v>0.72689753963570281</v>
      </c>
      <c r="N86" s="245">
        <f>K87</f>
        <v>6575</v>
      </c>
      <c r="O86" s="249">
        <f>L87/2</f>
        <v>0.3</v>
      </c>
      <c r="P86" s="7"/>
      <c r="R86" s="160"/>
      <c r="S86" s="319"/>
      <c r="T86" s="160"/>
      <c r="U86" s="160"/>
      <c r="V86" s="1"/>
      <c r="W86" s="1"/>
      <c r="X86" s="123"/>
      <c r="Y86"/>
      <c r="Z86"/>
      <c r="AA86"/>
      <c r="AF86" s="4"/>
    </row>
    <row r="87" spans="2:32" s="2" customFormat="1">
      <c r="B87" s="555"/>
      <c r="C87" s="86"/>
      <c r="D87" s="74" t="s">
        <v>93</v>
      </c>
      <c r="E87" s="81">
        <f>L63</f>
        <v>300</v>
      </c>
      <c r="F87" s="7"/>
      <c r="G87" s="83" t="s">
        <v>94</v>
      </c>
      <c r="H87" s="75">
        <f>M63</f>
        <v>4140.45</v>
      </c>
      <c r="K87" s="128">
        <f>ROUND(((L87-L86)+((L88-L86)/(K88-K86))*K86)/((L88-L86)/(K88-K86)),0)</f>
        <v>6575</v>
      </c>
      <c r="L87" s="71">
        <f>O6</f>
        <v>0.6</v>
      </c>
      <c r="N87" s="245">
        <v>8760</v>
      </c>
      <c r="O87" s="249">
        <f>L91/2</f>
        <v>0.6</v>
      </c>
      <c r="P87" s="7"/>
      <c r="R87" s="160"/>
      <c r="S87" s="320"/>
      <c r="T87" s="160"/>
      <c r="U87" s="160"/>
      <c r="V87" s="1"/>
      <c r="W87" s="1"/>
      <c r="X87" s="123"/>
      <c r="Y87"/>
      <c r="Z87"/>
      <c r="AA87"/>
      <c r="AF87" s="4"/>
    </row>
    <row r="88" spans="2:32" s="2" customFormat="1">
      <c r="B88" s="555"/>
      <c r="C88" s="86"/>
      <c r="D88" s="74" t="s">
        <v>95</v>
      </c>
      <c r="E88" s="81">
        <f>L73</f>
        <v>600</v>
      </c>
      <c r="F88" s="7"/>
      <c r="G88" s="83" t="s">
        <v>96</v>
      </c>
      <c r="H88" s="76">
        <f>M73</f>
        <v>7604.6453615398586</v>
      </c>
      <c r="K88" s="159">
        <f>C16</f>
        <v>6935</v>
      </c>
      <c r="L88" s="71">
        <f>P16</f>
        <v>0.47663657151116789</v>
      </c>
      <c r="P88" s="7"/>
      <c r="R88" s="552"/>
      <c r="S88" s="320"/>
      <c r="T88" s="160"/>
      <c r="U88" s="160"/>
      <c r="V88" s="1"/>
      <c r="W88" s="1"/>
      <c r="X88" s="123"/>
      <c r="Y88"/>
      <c r="Z88"/>
      <c r="AA88"/>
      <c r="AF88" s="4"/>
    </row>
    <row r="89" spans="2:32" s="2" customFormat="1">
      <c r="B89" s="555"/>
      <c r="C89" s="86"/>
      <c r="D89" s="77"/>
      <c r="E89" s="81"/>
      <c r="F89" s="7"/>
      <c r="G89" s="84"/>
      <c r="H89" s="76"/>
      <c r="J89" s="8"/>
      <c r="K89"/>
      <c r="L89"/>
      <c r="M89" s="7"/>
      <c r="N89" s="7"/>
      <c r="O89" s="7"/>
      <c r="P89" s="7"/>
      <c r="R89" s="552"/>
      <c r="S89" s="324"/>
      <c r="T89" s="160"/>
      <c r="U89" s="160"/>
      <c r="V89" s="1"/>
      <c r="W89" s="1"/>
      <c r="X89" s="123"/>
      <c r="Y89"/>
      <c r="Z89"/>
      <c r="AA89"/>
      <c r="AF89" s="4"/>
    </row>
    <row r="90" spans="2:32" s="2" customFormat="1" ht="15" thickBot="1">
      <c r="B90" s="555"/>
      <c r="C90" s="86"/>
      <c r="D90" s="78" t="s">
        <v>92</v>
      </c>
      <c r="E90" s="82">
        <f>E64</f>
        <v>1111.1111111111111</v>
      </c>
      <c r="F90" s="79"/>
      <c r="G90" s="85" t="s">
        <v>97</v>
      </c>
      <c r="H90" s="80">
        <f>E66</f>
        <v>15334.999999999998</v>
      </c>
      <c r="J90" s="73"/>
      <c r="K90" s="70">
        <f>C13</f>
        <v>4745</v>
      </c>
      <c r="L90" s="71">
        <f>P13</f>
        <v>1.4861638666575967</v>
      </c>
      <c r="M90" s="7"/>
      <c r="N90" s="7"/>
      <c r="O90" s="7"/>
      <c r="P90" s="7"/>
      <c r="R90" s="325"/>
      <c r="S90" s="325"/>
      <c r="T90" s="325"/>
      <c r="U90" s="325"/>
      <c r="V90" s="1"/>
      <c r="W90" s="1"/>
      <c r="X90" s="123"/>
      <c r="Y90"/>
      <c r="Z90"/>
      <c r="AA90"/>
      <c r="AF90" s="4"/>
    </row>
    <row r="91" spans="2:32" s="2" customFormat="1" ht="15" thickBot="1">
      <c r="B91" s="555"/>
      <c r="C91" s="86"/>
      <c r="D91" s="7"/>
      <c r="E91" s="7"/>
      <c r="F91" s="7"/>
      <c r="G91" s="7"/>
      <c r="H91" s="7"/>
      <c r="J91" s="7"/>
      <c r="K91" s="128">
        <f>ROUND(((L91-L90)+((L92-L90)/(K92-K90))*K90)/((L92-L90)/(K92-K90)),0)</f>
        <v>5136</v>
      </c>
      <c r="L91" s="71">
        <f>M6</f>
        <v>1.2</v>
      </c>
      <c r="M91" s="7"/>
      <c r="N91" s="7"/>
      <c r="O91" s="7"/>
      <c r="P91" s="7"/>
      <c r="R91" s="325"/>
      <c r="S91" s="325"/>
      <c r="T91" s="325"/>
      <c r="U91" s="325"/>
      <c r="V91" s="1"/>
      <c r="W91" s="1"/>
      <c r="X91" s="123"/>
      <c r="Y91"/>
      <c r="Z91"/>
      <c r="AA91"/>
      <c r="AF91" s="4"/>
    </row>
    <row r="92" spans="2:32" s="2" customFormat="1" ht="15" thickBot="1">
      <c r="B92" s="555"/>
      <c r="C92" s="86"/>
      <c r="D92" s="508" t="s">
        <v>100</v>
      </c>
      <c r="E92" s="509"/>
      <c r="F92" s="509"/>
      <c r="G92" s="509"/>
      <c r="H92" s="510"/>
      <c r="J92" s="7"/>
      <c r="K92" s="70">
        <f>C14</f>
        <v>5475</v>
      </c>
      <c r="L92" s="71">
        <f>P14</f>
        <v>0.95146114983532237</v>
      </c>
      <c r="M92" s="7"/>
      <c r="N92" s="7"/>
      <c r="O92" s="7"/>
      <c r="P92" s="7"/>
      <c r="R92" s="569"/>
      <c r="S92" s="569"/>
      <c r="T92" s="569"/>
      <c r="U92" s="569"/>
      <c r="V92" s="1"/>
      <c r="W92" s="1"/>
      <c r="X92" s="123"/>
      <c r="Y92"/>
      <c r="Z92"/>
      <c r="AA92"/>
      <c r="AF92" s="4"/>
    </row>
    <row r="93" spans="2:32" s="2" customFormat="1" ht="15.6" thickBot="1">
      <c r="B93" s="555"/>
      <c r="C93" s="86"/>
      <c r="D93" s="94" t="s">
        <v>188</v>
      </c>
      <c r="E93" s="100">
        <f>E87/E90</f>
        <v>0.27</v>
      </c>
      <c r="F93" s="7"/>
      <c r="G93" s="7"/>
      <c r="H93" s="88"/>
      <c r="J93" s="7"/>
      <c r="K93" s="160"/>
      <c r="L93" s="161"/>
      <c r="M93" s="7"/>
      <c r="N93" s="7"/>
      <c r="O93" s="7"/>
      <c r="P93" s="7"/>
      <c r="R93" s="160"/>
      <c r="S93" s="160"/>
      <c r="T93" s="160"/>
      <c r="U93" s="160"/>
      <c r="V93" s="1"/>
      <c r="W93" s="1"/>
      <c r="X93" s="123"/>
      <c r="Y93"/>
      <c r="Z93"/>
      <c r="AA93"/>
      <c r="AF93" s="4"/>
    </row>
    <row r="94" spans="2:32" s="2" customFormat="1" ht="15" customHeight="1" thickBot="1">
      <c r="B94" s="555"/>
      <c r="C94" s="86"/>
      <c r="D94" s="87" t="s">
        <v>189</v>
      </c>
      <c r="E94" s="101">
        <f>E88/E90</f>
        <v>0.54</v>
      </c>
      <c r="F94" s="7"/>
      <c r="G94" s="499" t="s">
        <v>101</v>
      </c>
      <c r="H94" s="500"/>
      <c r="J94" s="7"/>
      <c r="K94" s="160"/>
      <c r="L94" s="161"/>
      <c r="M94" s="7"/>
      <c r="N94" s="7"/>
      <c r="O94" s="7"/>
      <c r="P94" s="7"/>
      <c r="R94" s="160"/>
      <c r="S94" s="326"/>
      <c r="T94" s="160"/>
      <c r="U94" s="160"/>
      <c r="V94" s="1"/>
      <c r="W94" s="1"/>
      <c r="X94" s="123"/>
      <c r="Y94"/>
      <c r="Z94"/>
      <c r="AA94"/>
      <c r="AF94" s="4"/>
    </row>
    <row r="95" spans="2:32" s="2" customFormat="1" ht="15" thickBot="1">
      <c r="B95" s="555"/>
      <c r="C95" s="86"/>
      <c r="D95" s="102" t="s">
        <v>0</v>
      </c>
      <c r="E95" s="163">
        <f>H75</f>
        <v>0.7659012299667336</v>
      </c>
      <c r="F95" s="7"/>
      <c r="G95" s="144" t="s">
        <v>4</v>
      </c>
      <c r="H95" s="147" t="s">
        <v>122</v>
      </c>
      <c r="J95" s="7"/>
      <c r="M95" s="7"/>
      <c r="N95" s="7"/>
      <c r="O95" s="7"/>
      <c r="P95" s="7"/>
      <c r="R95" s="160"/>
      <c r="S95" s="321"/>
      <c r="T95" s="160"/>
      <c r="U95" s="160"/>
      <c r="V95" s="1"/>
      <c r="W95" s="1"/>
      <c r="X95" s="123"/>
      <c r="Y95"/>
      <c r="Z95"/>
      <c r="AA95"/>
      <c r="AF95" s="4"/>
    </row>
    <row r="96" spans="2:32" s="2" customFormat="1" ht="15" thickBot="1">
      <c r="B96" s="555"/>
      <c r="C96" s="86"/>
      <c r="D96" s="86"/>
      <c r="E96" s="7"/>
      <c r="F96" s="7"/>
      <c r="G96" s="144" t="s">
        <v>106</v>
      </c>
      <c r="H96" s="148" t="s">
        <v>122</v>
      </c>
      <c r="J96" s="7"/>
      <c r="K96" s="160"/>
      <c r="L96" s="161"/>
      <c r="M96" s="7"/>
      <c r="N96" s="7"/>
      <c r="O96" s="7"/>
      <c r="P96" s="7"/>
      <c r="R96" s="160"/>
      <c r="S96" s="327"/>
      <c r="T96" s="160"/>
      <c r="U96" s="160"/>
      <c r="V96" s="1"/>
      <c r="W96" s="1"/>
      <c r="X96" s="123"/>
      <c r="Y96"/>
      <c r="Z96"/>
      <c r="AA96"/>
      <c r="AF96" s="4"/>
    </row>
    <row r="97" spans="2:32" s="2" customFormat="1" ht="15" thickBot="1">
      <c r="B97" s="555"/>
      <c r="C97" s="86"/>
      <c r="D97" s="98" t="s">
        <v>1</v>
      </c>
      <c r="E97" s="99">
        <v>0.75</v>
      </c>
      <c r="F97" s="7"/>
      <c r="G97" s="144" t="s">
        <v>105</v>
      </c>
      <c r="H97" s="148" t="s">
        <v>122</v>
      </c>
      <c r="J97" s="7"/>
      <c r="M97" s="7"/>
      <c r="N97" s="7"/>
      <c r="O97" s="7"/>
      <c r="P97" s="7"/>
      <c r="R97" s="160"/>
      <c r="S97" s="327"/>
      <c r="T97" s="160"/>
      <c r="U97" s="160"/>
      <c r="V97" s="1"/>
      <c r="W97" s="1"/>
      <c r="X97" s="123"/>
      <c r="Y97"/>
      <c r="Z97"/>
      <c r="AA97"/>
      <c r="AF97" s="4"/>
    </row>
    <row r="98" spans="2:32" s="2" customFormat="1" ht="15" thickBot="1">
      <c r="B98" s="555"/>
      <c r="C98" s="86"/>
      <c r="D98" s="86"/>
      <c r="E98" s="7"/>
      <c r="F98" s="7"/>
      <c r="G98" s="145" t="s">
        <v>107</v>
      </c>
      <c r="H98" s="146" t="s">
        <v>122</v>
      </c>
      <c r="J98" s="7"/>
      <c r="M98" s="7"/>
      <c r="N98" s="7"/>
      <c r="O98" s="7"/>
      <c r="P98" s="7"/>
      <c r="R98" s="160"/>
      <c r="S98" s="321"/>
      <c r="T98" s="160"/>
      <c r="U98" s="160"/>
      <c r="V98" s="1"/>
      <c r="W98" s="1"/>
      <c r="X98" s="123"/>
      <c r="Y98"/>
      <c r="Z98"/>
      <c r="AA98"/>
      <c r="AF98" s="4"/>
    </row>
    <row r="99" spans="2:32" s="2" customFormat="1" ht="15" thickBot="1">
      <c r="B99" s="555"/>
      <c r="C99" s="86"/>
      <c r="D99" s="98" t="s">
        <v>91</v>
      </c>
      <c r="E99" s="149" t="b">
        <f>E95&gt;E97</f>
        <v>1</v>
      </c>
      <c r="F99" s="135"/>
      <c r="G99" s="7"/>
      <c r="H99" s="88"/>
      <c r="J99" s="7"/>
      <c r="K99" s="551"/>
      <c r="L99" s="551"/>
      <c r="M99" s="160"/>
      <c r="N99" s="160"/>
      <c r="O99" s="160"/>
      <c r="P99" s="160"/>
      <c r="R99" s="552"/>
      <c r="S99" s="327"/>
      <c r="T99" s="160"/>
      <c r="U99" s="160"/>
      <c r="V99" s="1"/>
      <c r="W99" s="1"/>
      <c r="X99" s="123"/>
      <c r="Y99"/>
      <c r="Z99"/>
      <c r="AA99"/>
      <c r="AF99" s="4"/>
    </row>
    <row r="100" spans="2:32" s="2" customFormat="1" ht="15.75" customHeight="1" thickBot="1">
      <c r="B100" s="555"/>
      <c r="C100" s="86"/>
      <c r="D100" s="86"/>
      <c r="E100" s="7"/>
      <c r="F100" s="7"/>
      <c r="G100" s="499" t="s">
        <v>108</v>
      </c>
      <c r="H100" s="500"/>
      <c r="J100" s="7"/>
      <c r="K100" s="553" t="s">
        <v>116</v>
      </c>
      <c r="L100" s="553"/>
      <c r="M100" s="160"/>
      <c r="N100" s="297" t="s">
        <v>116</v>
      </c>
      <c r="O100" s="267"/>
      <c r="R100" s="552"/>
      <c r="S100" s="327"/>
      <c r="T100" s="160"/>
      <c r="U100" s="160"/>
      <c r="V100" s="1"/>
      <c r="W100" s="1"/>
      <c r="X100" s="123"/>
      <c r="Y100"/>
      <c r="Z100"/>
      <c r="AA100"/>
      <c r="AF100" s="4"/>
    </row>
    <row r="101" spans="2:32" s="2" customFormat="1" ht="15.6" thickBot="1">
      <c r="B101" s="555"/>
      <c r="C101" s="86"/>
      <c r="D101" s="94" t="s">
        <v>98</v>
      </c>
      <c r="E101" s="95">
        <f>D77</f>
        <v>0.34</v>
      </c>
      <c r="F101" s="7"/>
      <c r="G101" s="86" t="s">
        <v>102</v>
      </c>
      <c r="H101" s="153" t="s">
        <v>122</v>
      </c>
      <c r="J101" s="7"/>
      <c r="K101" s="298">
        <v>6575</v>
      </c>
      <c r="L101" s="289">
        <v>0.6</v>
      </c>
      <c r="M101" s="7"/>
      <c r="N101" s="302">
        <v>5136</v>
      </c>
      <c r="O101" s="299">
        <v>0.6</v>
      </c>
      <c r="R101" s="160"/>
      <c r="S101" s="321"/>
      <c r="T101" s="160"/>
      <c r="U101" s="160"/>
      <c r="V101" s="1"/>
      <c r="W101" s="1"/>
      <c r="X101" s="123"/>
      <c r="Y101"/>
      <c r="Z101"/>
      <c r="AA101"/>
      <c r="AF101" s="4"/>
    </row>
    <row r="102" spans="2:32" s="2" customFormat="1" ht="15" thickBot="1">
      <c r="B102" s="555"/>
      <c r="C102" s="86"/>
      <c r="D102" s="96" t="s">
        <v>99</v>
      </c>
      <c r="E102" s="97">
        <f>D80</f>
        <v>0.86</v>
      </c>
      <c r="F102" s="7"/>
      <c r="G102" s="86" t="s">
        <v>109</v>
      </c>
      <c r="H102" s="148" t="s">
        <v>122</v>
      </c>
      <c r="J102" s="7"/>
      <c r="K102" s="245">
        <v>6935</v>
      </c>
      <c r="L102" s="286">
        <v>0.47663657151116789</v>
      </c>
      <c r="M102" s="249">
        <f>(L101+L102)*(K102-K101)/2</f>
        <v>193.79458287201021</v>
      </c>
      <c r="N102" s="245">
        <v>5475</v>
      </c>
      <c r="O102" s="286">
        <f>P14-L87</f>
        <v>0.3514611498353224</v>
      </c>
      <c r="P102" s="245">
        <f>(O101+O102)*(N102-N101)/2</f>
        <v>161.27266489708714</v>
      </c>
      <c r="R102" s="160"/>
      <c r="S102" s="327"/>
      <c r="T102" s="160"/>
      <c r="U102" s="160"/>
      <c r="V102" s="1"/>
      <c r="W102" s="1"/>
      <c r="X102" s="123"/>
      <c r="Y102"/>
      <c r="Z102"/>
      <c r="AA102"/>
      <c r="AF102" s="4"/>
    </row>
    <row r="103" spans="2:32" s="2" customFormat="1" ht="15" thickBot="1">
      <c r="B103" s="555"/>
      <c r="C103" s="86"/>
      <c r="D103" s="86"/>
      <c r="E103" s="7"/>
      <c r="F103" s="7"/>
      <c r="G103" s="91" t="s">
        <v>110</v>
      </c>
      <c r="H103" s="146" t="s">
        <v>122</v>
      </c>
      <c r="J103" s="7"/>
      <c r="K103" s="245">
        <v>7665</v>
      </c>
      <c r="L103" s="286">
        <v>0.47663657151116789</v>
      </c>
      <c r="M103" s="249">
        <f>(L102+L103)*(K103-K102)/2</f>
        <v>347.94469720315254</v>
      </c>
      <c r="N103" s="245">
        <v>6205</v>
      </c>
      <c r="O103" s="286">
        <f>P15-L87</f>
        <v>0.12689753963570283</v>
      </c>
      <c r="P103" s="245">
        <f>(O102+O103)*(N103-N102)/2</f>
        <v>174.60092165692421</v>
      </c>
      <c r="R103" s="160"/>
      <c r="S103" s="321"/>
      <c r="T103" s="160"/>
      <c r="U103" s="160"/>
      <c r="V103" s="1"/>
      <c r="W103" s="1"/>
      <c r="X103" s="123"/>
      <c r="Y103"/>
      <c r="Z103"/>
      <c r="AA103"/>
      <c r="AF103" s="4"/>
    </row>
    <row r="104" spans="2:32" s="2" customFormat="1" ht="15" thickBot="1">
      <c r="B104" s="555"/>
      <c r="C104" s="86"/>
      <c r="D104" s="92" t="s">
        <v>2</v>
      </c>
      <c r="E104" s="93">
        <f>R67</f>
        <v>0.27047076411250093</v>
      </c>
      <c r="F104" s="89"/>
      <c r="G104" s="89"/>
      <c r="H104" s="90"/>
      <c r="J104" s="7"/>
      <c r="K104" s="245">
        <v>8395</v>
      </c>
      <c r="L104" s="286">
        <v>0.47663657151116789</v>
      </c>
      <c r="M104" s="249">
        <f>(L103+L104)*(K104-K103)/2</f>
        <v>347.94469720315254</v>
      </c>
      <c r="N104" s="245">
        <v>6575</v>
      </c>
      <c r="O104" s="245">
        <v>0</v>
      </c>
      <c r="P104" s="245">
        <f>(O103+O104)*(N104-N103)/2</f>
        <v>23.476044832605023</v>
      </c>
      <c r="R104" s="160"/>
      <c r="S104" s="321"/>
      <c r="T104" s="160"/>
      <c r="U104" s="160"/>
      <c r="V104" s="1"/>
      <c r="W104" s="1"/>
      <c r="X104" s="123"/>
      <c r="Y104"/>
      <c r="Z104"/>
      <c r="AA104"/>
      <c r="AF104" s="4"/>
    </row>
    <row r="105" spans="2:32" s="2" customFormat="1" ht="15" thickBot="1">
      <c r="B105" s="555"/>
      <c r="C105" s="86"/>
      <c r="D105" s="7"/>
      <c r="E105" s="7"/>
      <c r="F105" s="7"/>
      <c r="G105" s="7"/>
      <c r="H105" s="7"/>
      <c r="J105" s="72"/>
      <c r="K105" s="245">
        <v>8760</v>
      </c>
      <c r="L105" s="286">
        <v>0.47663657151116789</v>
      </c>
      <c r="M105" s="249">
        <f>(L104+L105)*(K105-K104)/2</f>
        <v>173.97234860157627</v>
      </c>
      <c r="N105" s="245"/>
      <c r="O105" s="245"/>
      <c r="P105" s="245"/>
      <c r="Q105" s="7"/>
      <c r="R105" s="328"/>
      <c r="S105" s="322"/>
      <c r="T105" s="329"/>
      <c r="U105" s="160"/>
      <c r="V105" s="1"/>
      <c r="W105" s="1"/>
      <c r="X105" s="123"/>
      <c r="Y105"/>
      <c r="Z105"/>
      <c r="AA105"/>
      <c r="AF105" s="4"/>
    </row>
    <row r="106" spans="2:32" s="2" customFormat="1" ht="15" thickBot="1">
      <c r="B106" s="555"/>
      <c r="C106" s="86"/>
      <c r="D106" s="511" t="s">
        <v>114</v>
      </c>
      <c r="E106" s="512"/>
      <c r="F106" s="512"/>
      <c r="G106" s="512"/>
      <c r="H106" s="513"/>
      <c r="J106" s="7"/>
      <c r="K106" s="7"/>
      <c r="L106" s="7"/>
      <c r="M106" s="7"/>
      <c r="N106" s="7"/>
      <c r="O106" s="7"/>
      <c r="Q106" s="7"/>
      <c r="R106" s="328"/>
      <c r="S106" s="322"/>
      <c r="T106" s="330"/>
      <c r="U106" s="160"/>
      <c r="V106" s="1"/>
      <c r="W106" s="1"/>
      <c r="X106" s="123"/>
      <c r="Y106"/>
      <c r="Z106"/>
      <c r="AA106"/>
      <c r="AF106" s="4"/>
    </row>
    <row r="107" spans="2:32" s="2" customFormat="1" ht="15" thickBot="1">
      <c r="B107" s="555"/>
      <c r="C107" s="86"/>
      <c r="D107" s="109" t="s">
        <v>3</v>
      </c>
      <c r="E107" s="110">
        <v>0.15</v>
      </c>
      <c r="F107" s="7"/>
      <c r="G107" s="7"/>
      <c r="H107" s="106"/>
      <c r="J107" s="7"/>
      <c r="K107" s="7"/>
      <c r="L107" s="7"/>
      <c r="M107" s="300">
        <f>SUM(M102:M105)</f>
        <v>1063.6563258798915</v>
      </c>
      <c r="N107" s="7"/>
      <c r="O107" s="7"/>
      <c r="P107" s="301">
        <f>SUM(P102:P104)</f>
        <v>359.34963138661635</v>
      </c>
      <c r="Q107" s="7"/>
      <c r="R107" s="328"/>
      <c r="S107" s="322"/>
      <c r="T107" s="328"/>
      <c r="U107" s="325"/>
      <c r="V107" s="1"/>
      <c r="W107" s="1"/>
      <c r="X107" s="123"/>
      <c r="Y107"/>
      <c r="Z107"/>
      <c r="AA107"/>
      <c r="AF107" s="4"/>
    </row>
    <row r="108" spans="2:32" s="2" customFormat="1" ht="15" thickBot="1">
      <c r="B108" s="555"/>
      <c r="C108" s="86"/>
      <c r="D108" s="105"/>
      <c r="E108" s="7"/>
      <c r="F108" s="7"/>
      <c r="G108" s="514" t="s">
        <v>115</v>
      </c>
      <c r="H108" s="515"/>
      <c r="J108" s="7"/>
      <c r="K108" s="7"/>
      <c r="L108" s="7"/>
      <c r="M108" s="7"/>
      <c r="N108" s="7"/>
      <c r="O108" s="7"/>
      <c r="P108" s="7"/>
      <c r="Q108" s="7"/>
      <c r="R108" s="325"/>
      <c r="S108" s="325"/>
      <c r="T108" s="325"/>
      <c r="U108" s="325"/>
      <c r="V108" s="1"/>
      <c r="W108" s="1"/>
      <c r="X108" s="123"/>
      <c r="Y108"/>
      <c r="Z108"/>
      <c r="AA108"/>
      <c r="AF108" s="4"/>
    </row>
    <row r="109" spans="2:32" s="2" customFormat="1" ht="15" thickBot="1">
      <c r="B109" s="555"/>
      <c r="C109" s="124"/>
      <c r="D109" s="506" t="s">
        <v>184</v>
      </c>
      <c r="E109" s="507"/>
      <c r="F109" s="507"/>
      <c r="G109" s="111" t="s">
        <v>185</v>
      </c>
      <c r="H109" s="130">
        <f>M73</f>
        <v>7604.6453615398586</v>
      </c>
      <c r="J109" s="7"/>
      <c r="K109" s="7"/>
      <c r="L109" s="7"/>
      <c r="M109" s="7"/>
      <c r="N109" s="7"/>
      <c r="O109" s="7"/>
      <c r="P109" s="7"/>
      <c r="Q109" s="7"/>
      <c r="R109" s="160"/>
      <c r="S109" s="160"/>
      <c r="T109" s="160"/>
      <c r="U109" s="160"/>
      <c r="V109" s="1"/>
      <c r="W109" s="1"/>
      <c r="X109" s="123"/>
      <c r="Y109"/>
      <c r="Z109"/>
      <c r="AA109"/>
      <c r="AF109" s="4"/>
    </row>
    <row r="110" spans="2:32" s="2" customFormat="1" ht="15" thickBot="1">
      <c r="B110" s="555"/>
      <c r="C110" s="86"/>
      <c r="D110" s="107" t="s">
        <v>120</v>
      </c>
      <c r="E110" s="108"/>
      <c r="F110" s="108"/>
      <c r="G110" s="112" t="s">
        <v>121</v>
      </c>
      <c r="H110" s="157">
        <f>H109/J19%</f>
        <v>56.752776844544975</v>
      </c>
      <c r="J110" s="7"/>
      <c r="K110" s="7"/>
      <c r="L110" s="7"/>
      <c r="M110" s="7"/>
      <c r="N110" s="7"/>
      <c r="O110" s="7"/>
      <c r="P110" s="7"/>
      <c r="Q110" s="7"/>
      <c r="V110" s="1"/>
      <c r="W110" s="1"/>
      <c r="X110" s="123"/>
      <c r="Y110"/>
      <c r="Z110"/>
      <c r="AA110"/>
      <c r="AF110" s="4"/>
    </row>
    <row r="111" spans="2:32" s="2" customFormat="1">
      <c r="B111" s="555"/>
      <c r="C111" s="86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1"/>
      <c r="S111" s="1"/>
      <c r="T111" s="1"/>
      <c r="U111" s="1"/>
      <c r="V111" s="1"/>
      <c r="W111" s="1"/>
      <c r="X111" s="123"/>
      <c r="Y111"/>
      <c r="Z111"/>
      <c r="AA111"/>
      <c r="AF111" s="4"/>
    </row>
    <row r="112" spans="2:32" s="2" customFormat="1" ht="15" thickBot="1">
      <c r="B112" s="556"/>
      <c r="C112" s="96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125"/>
      <c r="S112" s="125"/>
      <c r="T112" s="125"/>
      <c r="U112" s="125"/>
      <c r="V112" s="125"/>
      <c r="W112" s="125"/>
      <c r="X112" s="126"/>
      <c r="Y112"/>
      <c r="Z112"/>
      <c r="AA112"/>
      <c r="AF112" s="4"/>
    </row>
    <row r="113" spans="2:32" s="2" customFormat="1">
      <c r="R113"/>
      <c r="S113"/>
      <c r="T113"/>
      <c r="U113"/>
      <c r="V113"/>
      <c r="W113"/>
      <c r="X113"/>
      <c r="Y113"/>
      <c r="Z113"/>
      <c r="AA113"/>
      <c r="AF113" s="4"/>
    </row>
    <row r="114" spans="2:32" s="2" customFormat="1">
      <c r="R114"/>
      <c r="S114"/>
      <c r="T114"/>
      <c r="U114"/>
      <c r="V114"/>
      <c r="W114"/>
      <c r="X114"/>
      <c r="Y114"/>
      <c r="Z114"/>
      <c r="AA114"/>
      <c r="AF114" s="4"/>
    </row>
    <row r="115" spans="2:32" s="2" customFormat="1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F115" s="4"/>
    </row>
    <row r="117" spans="2:32">
      <c r="C117" s="547" t="s">
        <v>112</v>
      </c>
      <c r="D117" s="547"/>
      <c r="E117" s="268"/>
      <c r="F117" s="158"/>
      <c r="G117" s="158"/>
    </row>
    <row r="118" spans="2:32" ht="27.6">
      <c r="C118" s="248" t="s">
        <v>9</v>
      </c>
      <c r="D118" s="244" t="s">
        <v>113</v>
      </c>
      <c r="E118" s="244"/>
      <c r="F118" s="244" t="s">
        <v>113</v>
      </c>
      <c r="G118" s="249" t="s">
        <v>183</v>
      </c>
    </row>
    <row r="119" spans="2:32">
      <c r="C119" s="245">
        <v>0</v>
      </c>
      <c r="D119" s="250">
        <f>$L$73*2/1000</f>
        <v>1.2</v>
      </c>
      <c r="E119" s="250"/>
      <c r="F119" s="250">
        <f>D119/2</f>
        <v>0.6</v>
      </c>
      <c r="G119" s="249">
        <f>P6</f>
        <v>2.8598194290670071</v>
      </c>
    </row>
    <row r="120" spans="2:32">
      <c r="C120" s="245">
        <v>365</v>
      </c>
      <c r="D120" s="250">
        <f t="shared" ref="D120:D132" si="7">$L$73*2/1000</f>
        <v>1.2</v>
      </c>
      <c r="E120" s="250"/>
      <c r="F120" s="250">
        <f t="shared" ref="F120:F132" si="8">D120/2</f>
        <v>0.6</v>
      </c>
      <c r="G120" s="249">
        <f t="shared" ref="G120:G132" si="9">P7</f>
        <v>2.7951539222054715</v>
      </c>
    </row>
    <row r="121" spans="2:32">
      <c r="C121" s="245">
        <v>1095</v>
      </c>
      <c r="D121" s="250">
        <f t="shared" si="7"/>
        <v>1.2</v>
      </c>
      <c r="E121" s="250"/>
      <c r="F121" s="250">
        <f t="shared" si="8"/>
        <v>0.6</v>
      </c>
      <c r="G121" s="249">
        <f t="shared" si="9"/>
        <v>2.6235396356468126</v>
      </c>
    </row>
    <row r="122" spans="2:32">
      <c r="C122" s="245">
        <v>1825</v>
      </c>
      <c r="D122" s="250">
        <f t="shared" si="7"/>
        <v>1.2</v>
      </c>
      <c r="E122" s="250"/>
      <c r="F122" s="250">
        <f t="shared" si="8"/>
        <v>0.6</v>
      </c>
      <c r="G122" s="249">
        <f t="shared" si="9"/>
        <v>2.5288218099620297</v>
      </c>
    </row>
    <row r="123" spans="2:32">
      <c r="C123" s="245">
        <v>2555</v>
      </c>
      <c r="D123" s="250">
        <f t="shared" si="7"/>
        <v>1.2</v>
      </c>
      <c r="E123" s="250"/>
      <c r="F123" s="250">
        <f t="shared" si="8"/>
        <v>0.6</v>
      </c>
      <c r="G123" s="249">
        <f t="shared" si="9"/>
        <v>2.1382343240023207</v>
      </c>
    </row>
    <row r="124" spans="2:32">
      <c r="C124" s="245">
        <v>3285</v>
      </c>
      <c r="D124" s="250">
        <f t="shared" si="7"/>
        <v>1.2</v>
      </c>
      <c r="E124" s="250"/>
      <c r="F124" s="250">
        <f t="shared" si="8"/>
        <v>0.6</v>
      </c>
      <c r="G124" s="249">
        <f t="shared" si="9"/>
        <v>2.1002957166492302</v>
      </c>
    </row>
    <row r="125" spans="2:32">
      <c r="C125" s="245">
        <v>4015</v>
      </c>
      <c r="D125" s="250">
        <f t="shared" si="7"/>
        <v>1.2</v>
      </c>
      <c r="E125" s="250"/>
      <c r="F125" s="250">
        <f t="shared" si="8"/>
        <v>0.6</v>
      </c>
      <c r="G125" s="249">
        <f t="shared" si="9"/>
        <v>1.5589730474448567</v>
      </c>
    </row>
    <row r="126" spans="2:32">
      <c r="C126" s="245">
        <v>4745</v>
      </c>
      <c r="D126" s="250">
        <f t="shared" si="7"/>
        <v>1.2</v>
      </c>
      <c r="E126" s="250"/>
      <c r="F126" s="250">
        <f t="shared" si="8"/>
        <v>0.6</v>
      </c>
      <c r="G126" s="249">
        <f t="shared" si="9"/>
        <v>1.4861638666575967</v>
      </c>
    </row>
    <row r="127" spans="2:32">
      <c r="C127" s="245">
        <v>5475</v>
      </c>
      <c r="D127" s="250">
        <f t="shared" si="7"/>
        <v>1.2</v>
      </c>
      <c r="E127" s="250"/>
      <c r="F127" s="250">
        <f t="shared" si="8"/>
        <v>0.6</v>
      </c>
      <c r="G127" s="249">
        <f t="shared" si="9"/>
        <v>0.95146114983532237</v>
      </c>
    </row>
    <row r="128" spans="2:32">
      <c r="C128" s="245">
        <v>6205</v>
      </c>
      <c r="D128" s="250">
        <f t="shared" si="7"/>
        <v>1.2</v>
      </c>
      <c r="E128" s="250"/>
      <c r="F128" s="250">
        <f t="shared" si="8"/>
        <v>0.6</v>
      </c>
      <c r="G128" s="249">
        <f t="shared" si="9"/>
        <v>0.72689753963570281</v>
      </c>
    </row>
    <row r="129" spans="3:12">
      <c r="C129" s="245">
        <v>6935</v>
      </c>
      <c r="D129" s="250">
        <f t="shared" si="7"/>
        <v>1.2</v>
      </c>
      <c r="E129" s="250"/>
      <c r="F129" s="250">
        <f t="shared" si="8"/>
        <v>0.6</v>
      </c>
      <c r="G129" s="249">
        <f t="shared" si="9"/>
        <v>0.47663657151116789</v>
      </c>
    </row>
    <row r="130" spans="3:12">
      <c r="C130" s="245">
        <v>7665</v>
      </c>
      <c r="D130" s="250">
        <f t="shared" si="7"/>
        <v>1.2</v>
      </c>
      <c r="E130" s="250"/>
      <c r="F130" s="250">
        <f t="shared" si="8"/>
        <v>0.6</v>
      </c>
      <c r="G130" s="249">
        <f t="shared" si="9"/>
        <v>0.47663657151116789</v>
      </c>
    </row>
    <row r="131" spans="3:12">
      <c r="C131" s="245">
        <v>8395</v>
      </c>
      <c r="D131" s="250">
        <f t="shared" si="7"/>
        <v>1.2</v>
      </c>
      <c r="E131" s="250"/>
      <c r="F131" s="250">
        <f t="shared" si="8"/>
        <v>0.6</v>
      </c>
      <c r="G131" s="249">
        <f t="shared" si="9"/>
        <v>0.47663657151116789</v>
      </c>
    </row>
    <row r="132" spans="3:12">
      <c r="C132" s="245">
        <v>8760</v>
      </c>
      <c r="D132" s="250">
        <f t="shared" si="7"/>
        <v>1.2</v>
      </c>
      <c r="E132" s="250"/>
      <c r="F132" s="250">
        <f t="shared" si="8"/>
        <v>0.6</v>
      </c>
      <c r="G132" s="249">
        <f t="shared" si="9"/>
        <v>0.47663657151116789</v>
      </c>
    </row>
    <row r="142" spans="3:12">
      <c r="C142" s="305" t="s">
        <v>190</v>
      </c>
      <c r="D142" s="305" t="s">
        <v>191</v>
      </c>
      <c r="F142" s="239" t="s">
        <v>192</v>
      </c>
      <c r="G142" s="239">
        <v>1.4999999999999999E-2</v>
      </c>
      <c r="I142" s="239"/>
      <c r="J142" s="239"/>
      <c r="K142" s="239" t="s">
        <v>193</v>
      </c>
      <c r="L142" s="239" t="s">
        <v>194</v>
      </c>
    </row>
    <row r="143" spans="3:12">
      <c r="C143" s="242" t="s">
        <v>195</v>
      </c>
      <c r="D143" s="242">
        <v>300</v>
      </c>
      <c r="F143" s="239" t="s">
        <v>196</v>
      </c>
      <c r="G143" s="239">
        <v>5000</v>
      </c>
      <c r="I143" s="239" t="s">
        <v>197</v>
      </c>
      <c r="J143" s="239"/>
      <c r="K143" s="313">
        <f>(L87*K87+M107)*D61</f>
        <v>4507.7906932919022</v>
      </c>
      <c r="L143" s="313">
        <f>N87*O86*D61</f>
        <v>2365.2000000000003</v>
      </c>
    </row>
    <row r="144" spans="3:12">
      <c r="C144" s="242" t="s">
        <v>198</v>
      </c>
      <c r="D144" s="242">
        <v>600</v>
      </c>
      <c r="F144" s="239" t="s">
        <v>199</v>
      </c>
      <c r="G144" s="239">
        <v>2500</v>
      </c>
      <c r="I144" s="239" t="s">
        <v>200</v>
      </c>
      <c r="J144" s="239"/>
      <c r="K144" s="313">
        <f>(K91*L87+P107)*D61</f>
        <v>3096.8546682479546</v>
      </c>
      <c r="L144" s="313">
        <f>N86*O86*D61</f>
        <v>1775.25</v>
      </c>
    </row>
    <row r="145" spans="3:12">
      <c r="C145" s="242" t="s">
        <v>201</v>
      </c>
      <c r="D145" s="311">
        <f>P65</f>
        <v>0.27</v>
      </c>
      <c r="F145" s="239"/>
      <c r="G145" s="239"/>
      <c r="I145" s="239" t="s">
        <v>128</v>
      </c>
      <c r="J145" s="239"/>
      <c r="K145" s="239">
        <f>K143+K144</f>
        <v>7604.6453615398568</v>
      </c>
      <c r="L145" s="239">
        <f>L143+L144</f>
        <v>4140.4500000000007</v>
      </c>
    </row>
    <row r="146" spans="3:12">
      <c r="C146" s="242" t="s">
        <v>202</v>
      </c>
      <c r="D146" s="311">
        <f>P69</f>
        <v>0.49590122996673358</v>
      </c>
      <c r="F146" s="239"/>
      <c r="G146" s="239"/>
    </row>
    <row r="147" spans="3:12">
      <c r="C147" s="242" t="s">
        <v>203</v>
      </c>
      <c r="D147" s="311">
        <f>H75</f>
        <v>0.7659012299667336</v>
      </c>
      <c r="F147" s="239"/>
      <c r="G147" s="239"/>
    </row>
    <row r="148" spans="3:12">
      <c r="C148" s="242" t="s">
        <v>204</v>
      </c>
      <c r="D148" s="312">
        <f>E64</f>
        <v>1111.1111111111111</v>
      </c>
      <c r="F148" s="239"/>
      <c r="G148" s="239"/>
    </row>
    <row r="149" spans="3:12">
      <c r="C149" s="242" t="s">
        <v>205</v>
      </c>
      <c r="D149" s="306">
        <v>4.3600000000000003</v>
      </c>
      <c r="F149" s="239" t="s">
        <v>315</v>
      </c>
      <c r="G149" s="307">
        <v>12500</v>
      </c>
    </row>
    <row r="152" spans="3:12">
      <c r="C152" s="308" t="s">
        <v>206</v>
      </c>
      <c r="D152" s="314">
        <f>D145</f>
        <v>0.27</v>
      </c>
    </row>
    <row r="153" spans="3:12">
      <c r="C153" s="308"/>
      <c r="D153" s="308"/>
    </row>
    <row r="154" spans="3:12">
      <c r="C154" s="308" t="s">
        <v>207</v>
      </c>
      <c r="D154" s="314">
        <f>D146</f>
        <v>0.49590122996673358</v>
      </c>
    </row>
    <row r="155" spans="3:12">
      <c r="C155" s="308"/>
      <c r="D155" s="308"/>
    </row>
    <row r="156" spans="3:12">
      <c r="C156" s="308" t="s">
        <v>208</v>
      </c>
      <c r="D156" s="314">
        <f>D147</f>
        <v>0.7659012299667336</v>
      </c>
      <c r="F156" s="309" t="s">
        <v>119</v>
      </c>
    </row>
    <row r="157" spans="3:12">
      <c r="C157" s="308"/>
      <c r="D157" s="308"/>
    </row>
    <row r="158" spans="3:12">
      <c r="C158" s="308" t="s">
        <v>209</v>
      </c>
      <c r="D158" s="308">
        <f>K145/L145</f>
        <v>1.8366712220990122</v>
      </c>
    </row>
    <row r="159" spans="3:12">
      <c r="C159" s="308"/>
      <c r="D159" s="308"/>
    </row>
    <row r="160" spans="3:12">
      <c r="C160" s="308" t="s">
        <v>210</v>
      </c>
      <c r="D160" s="308">
        <f>L145/K145</f>
        <v>0.544463259383552</v>
      </c>
    </row>
    <row r="161" spans="3:6">
      <c r="C161" s="308"/>
      <c r="D161" s="308"/>
    </row>
    <row r="162" spans="3:6">
      <c r="C162" s="308" t="s">
        <v>211</v>
      </c>
      <c r="D162" s="315">
        <f>E66/L145</f>
        <v>3.7037037037037028</v>
      </c>
    </row>
    <row r="165" spans="3:6">
      <c r="C165" t="s">
        <v>212</v>
      </c>
    </row>
    <row r="167" spans="3:6">
      <c r="C167" s="239" t="s">
        <v>213</v>
      </c>
      <c r="D167" s="316">
        <f>D77</f>
        <v>0.34</v>
      </c>
    </row>
    <row r="168" spans="3:6">
      <c r="C168" s="239" t="s">
        <v>214</v>
      </c>
      <c r="D168" s="316">
        <f>D80</f>
        <v>0.86</v>
      </c>
    </row>
    <row r="170" spans="3:6">
      <c r="C170" s="239" t="s">
        <v>2</v>
      </c>
      <c r="D170" s="239">
        <f>(1-(1/(D152/D167+D154/D168)))*100</f>
        <v>27.047076411250092</v>
      </c>
      <c r="F170" s="309" t="s">
        <v>119</v>
      </c>
    </row>
    <row r="172" spans="3:6">
      <c r="C172" s="239"/>
      <c r="D172" s="239" t="s">
        <v>215</v>
      </c>
      <c r="E172" s="239" t="s">
        <v>216</v>
      </c>
      <c r="F172" t="s">
        <v>128</v>
      </c>
    </row>
    <row r="173" spans="3:6">
      <c r="C173" s="239" t="s">
        <v>217</v>
      </c>
      <c r="D173" s="239">
        <f>D148/D149/1000</f>
        <v>0.254841997961264</v>
      </c>
      <c r="E173" s="239">
        <f>D148/D149/1000</f>
        <v>0.254841997961264</v>
      </c>
    </row>
    <row r="175" spans="3:6">
      <c r="C175" s="239" t="s">
        <v>234</v>
      </c>
      <c r="D175" s="318">
        <f>E66/D149</f>
        <v>3517.2018348623847</v>
      </c>
      <c r="E175" s="1"/>
      <c r="F175" s="317"/>
    </row>
    <row r="183" spans="3:4">
      <c r="C183" s="216" t="s">
        <v>218</v>
      </c>
    </row>
    <row r="185" spans="3:4">
      <c r="C185" s="239" t="s">
        <v>219</v>
      </c>
      <c r="D185" s="239">
        <v>175</v>
      </c>
    </row>
    <row r="187" spans="3:4">
      <c r="C187" s="239" t="s">
        <v>220</v>
      </c>
      <c r="D187" s="239">
        <f>D173*D185*2</f>
        <v>89.1946992864424</v>
      </c>
    </row>
    <row r="189" spans="3:4">
      <c r="C189" s="239" t="s">
        <v>221</v>
      </c>
      <c r="D189" s="239">
        <f>G142*D143*2</f>
        <v>9</v>
      </c>
    </row>
    <row r="190" spans="3:4">
      <c r="C190" s="239"/>
      <c r="D190" s="239"/>
    </row>
    <row r="191" spans="3:4">
      <c r="C191" s="239" t="s">
        <v>222</v>
      </c>
      <c r="D191" s="239">
        <f>G143/(8760*D61)</f>
        <v>0.63419583967529169</v>
      </c>
    </row>
    <row r="192" spans="3:4">
      <c r="C192" s="239"/>
      <c r="D192" s="239"/>
    </row>
    <row r="193" spans="3:4">
      <c r="C193" s="239" t="s">
        <v>223</v>
      </c>
      <c r="D193" s="239">
        <f>G144/(8760*D61)</f>
        <v>0.31709791983764585</v>
      </c>
    </row>
    <row r="195" spans="3:4">
      <c r="C195" s="239" t="s">
        <v>224</v>
      </c>
      <c r="D195" s="239">
        <f>D187+D189+D191+D193</f>
        <v>99.145993045955336</v>
      </c>
    </row>
    <row r="198" spans="3:4">
      <c r="C198" s="239" t="s">
        <v>225</v>
      </c>
      <c r="D198" s="308">
        <f>D195/(D143*2)</f>
        <v>0.1652433217432589</v>
      </c>
    </row>
    <row r="201" spans="3:4">
      <c r="C201" s="310" t="s">
        <v>226</v>
      </c>
      <c r="D201" s="310"/>
    </row>
    <row r="202" spans="3:4">
      <c r="C202" s="239" t="s">
        <v>294</v>
      </c>
      <c r="D202" s="239">
        <f>L145</f>
        <v>4140.4500000000007</v>
      </c>
    </row>
    <row r="203" spans="3:4">
      <c r="C203" s="239" t="s">
        <v>293</v>
      </c>
      <c r="D203" s="239">
        <f>K145</f>
        <v>7604.6453615398568</v>
      </c>
    </row>
    <row r="204" spans="3:4">
      <c r="C204" s="239" t="s">
        <v>227</v>
      </c>
      <c r="D204" s="421">
        <f>E66</f>
        <v>15334.999999999998</v>
      </c>
    </row>
    <row r="205" spans="3:4">
      <c r="C205" s="239" t="s">
        <v>228</v>
      </c>
      <c r="D205" s="239">
        <f>D202/D167 + D203/D168 -D204</f>
        <v>5685.405003158523</v>
      </c>
    </row>
    <row r="206" spans="3:4">
      <c r="C206" s="325"/>
      <c r="D206" s="325"/>
    </row>
    <row r="209" spans="3:6">
      <c r="C209" s="239" t="s">
        <v>229</v>
      </c>
      <c r="D209" s="239">
        <v>8.5999999999999993E-2</v>
      </c>
    </row>
    <row r="210" spans="3:6">
      <c r="C210" s="239"/>
      <c r="D210" s="239"/>
    </row>
    <row r="211" spans="3:6">
      <c r="C211" s="239" t="s">
        <v>230</v>
      </c>
      <c r="D211" s="273">
        <v>1.4</v>
      </c>
    </row>
    <row r="212" spans="3:6">
      <c r="C212" s="239"/>
      <c r="D212" s="239"/>
    </row>
    <row r="213" spans="3:6">
      <c r="C213" s="239" t="s">
        <v>231</v>
      </c>
      <c r="D213" s="239">
        <f>D205*D209*D211</f>
        <v>684.52276238028605</v>
      </c>
    </row>
    <row r="214" spans="3:6">
      <c r="C214" s="239" t="s">
        <v>232</v>
      </c>
      <c r="D214" s="239">
        <v>259.60000000000002</v>
      </c>
    </row>
    <row r="215" spans="3:6">
      <c r="C215" s="239" t="s">
        <v>233</v>
      </c>
      <c r="D215" s="308">
        <f>D213*D214</f>
        <v>177702.10911392228</v>
      </c>
    </row>
    <row r="217" spans="3:6">
      <c r="F217" s="216"/>
    </row>
    <row r="226" spans="3:5" ht="15" thickBot="1"/>
    <row r="227" spans="3:5">
      <c r="C227" s="468" t="s">
        <v>316</v>
      </c>
      <c r="D227" s="465" t="s">
        <v>317</v>
      </c>
      <c r="E227" s="469" t="s">
        <v>318</v>
      </c>
    </row>
    <row r="228" spans="3:5">
      <c r="C228" s="174">
        <v>200</v>
      </c>
      <c r="D228" s="239">
        <f t="shared" ref="D228:D233" si="10">C228*E228</f>
        <v>1900000</v>
      </c>
      <c r="E228" s="494">
        <v>9500</v>
      </c>
    </row>
    <row r="229" spans="3:5">
      <c r="C229" s="174">
        <v>600</v>
      </c>
      <c r="D229" s="239">
        <f t="shared" si="10"/>
        <v>4980000</v>
      </c>
      <c r="E229" s="494">
        <v>8300</v>
      </c>
    </row>
    <row r="230" spans="3:5">
      <c r="C230" s="174">
        <v>2000</v>
      </c>
      <c r="D230" s="239">
        <f t="shared" si="10"/>
        <v>13200000</v>
      </c>
      <c r="E230" s="494">
        <v>6600</v>
      </c>
    </row>
    <row r="231" spans="3:5">
      <c r="C231" s="174">
        <v>6000</v>
      </c>
      <c r="D231" s="239">
        <f t="shared" si="10"/>
        <v>31200000</v>
      </c>
      <c r="E231" s="494">
        <v>5200</v>
      </c>
    </row>
    <row r="232" spans="3:5" ht="15" thickBot="1">
      <c r="C232" s="495">
        <v>20000</v>
      </c>
      <c r="D232" s="240">
        <f t="shared" si="10"/>
        <v>70000000</v>
      </c>
      <c r="E232" s="460">
        <v>3500</v>
      </c>
    </row>
    <row r="233" spans="3:5" ht="15" thickBot="1">
      <c r="C233" s="496">
        <v>200000</v>
      </c>
      <c r="D233" s="258">
        <f t="shared" si="10"/>
        <v>400000000</v>
      </c>
      <c r="E233" s="497">
        <v>2000</v>
      </c>
    </row>
    <row r="252" spans="3:5" ht="15" thickBot="1"/>
    <row r="253" spans="3:5">
      <c r="C253" s="519" t="s">
        <v>333</v>
      </c>
      <c r="D253" s="465" t="s">
        <v>325</v>
      </c>
      <c r="E253" s="469" t="s">
        <v>326</v>
      </c>
    </row>
    <row r="254" spans="3:5">
      <c r="C254" s="450" t="s">
        <v>323</v>
      </c>
      <c r="D254" s="239">
        <v>13400</v>
      </c>
      <c r="E254" s="176">
        <v>7605</v>
      </c>
    </row>
    <row r="255" spans="3:5">
      <c r="C255" s="450" t="s">
        <v>324</v>
      </c>
      <c r="D255" s="239">
        <v>1691</v>
      </c>
      <c r="E255" s="176">
        <v>1321</v>
      </c>
    </row>
    <row r="256" spans="3:5" ht="15" thickBot="1">
      <c r="C256" s="498"/>
      <c r="D256" s="240"/>
      <c r="E256" s="241"/>
    </row>
    <row r="257" spans="3:5" ht="15" thickBot="1">
      <c r="C257" s="516" t="s">
        <v>327</v>
      </c>
      <c r="D257" s="258">
        <f>D254+D255</f>
        <v>15091</v>
      </c>
      <c r="E257" s="259">
        <f>E254+E255</f>
        <v>8926</v>
      </c>
    </row>
  </sheetData>
  <mergeCells count="22">
    <mergeCell ref="R99:R100"/>
    <mergeCell ref="K100:L100"/>
    <mergeCell ref="R88:R89"/>
    <mergeCell ref="B55:B112"/>
    <mergeCell ref="C55:X57"/>
    <mergeCell ref="G59:J59"/>
    <mergeCell ref="G60:J60"/>
    <mergeCell ref="G61:J61"/>
    <mergeCell ref="D65:D70"/>
    <mergeCell ref="D72:D74"/>
    <mergeCell ref="P72:R72"/>
    <mergeCell ref="P73:R73"/>
    <mergeCell ref="K84:L84"/>
    <mergeCell ref="R84:U84"/>
    <mergeCell ref="N84:O84"/>
    <mergeCell ref="R92:U92"/>
    <mergeCell ref="C117:D117"/>
    <mergeCell ref="C2:H2"/>
    <mergeCell ref="C4:F4"/>
    <mergeCell ref="H4:J4"/>
    <mergeCell ref="L4:M4"/>
    <mergeCell ref="K99:L99"/>
  </mergeCells>
  <conditionalFormatting sqref="E104">
    <cfRule type="cellIs" dxfId="2" priority="7" operator="lessThan">
      <formula>0.1</formula>
    </cfRule>
  </conditionalFormatting>
  <conditionalFormatting sqref="H75">
    <cfRule type="expression" dxfId="1" priority="2">
      <formula>$H$75&lt;$J$75</formula>
    </cfRule>
  </conditionalFormatting>
  <conditionalFormatting sqref="E99">
    <cfRule type="containsText" dxfId="0" priority="1" operator="containsText" text="FALSO">
      <formula>NOT(ISERROR(SEARCH("FALSO",E99)))</formula>
    </cfRule>
  </conditionalFormatting>
  <pageMargins left="0.7" right="0.7" top="0.75" bottom="0.75" header="0.3" footer="0.3"/>
  <pageSetup paperSize="9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8AC4E047-281E-453F-96DC-22F7824BE9B1}">
          <x14:formula1>
            <xm:f>'TABELLE&amp;REG.DEL.UE 2015 24'!$G$4:$G$21</xm:f>
          </x14:formula1>
          <xm:sqref>D65:D70</xm:sqref>
        </x14:dataValidation>
        <x14:dataValidation type="list" allowBlank="1" showInputMessage="1" showErrorMessage="1" xr:uid="{1DBF1921-63A8-40B9-9FDF-A060B5AB1A2C}">
          <x14:formula1>
            <xm:f>'TABELLE&amp;REG.DEL.UE 2015 24'!$B$3:$B$14</xm:f>
          </x14:formula1>
          <xm:sqref>G60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ABC24-337A-4E3E-9EFB-9F89CE4B92B9}">
  <dimension ref="B2:X249"/>
  <sheetViews>
    <sheetView topLeftCell="B141" zoomScale="50" zoomScaleNormal="50" workbookViewId="0">
      <selection activeCell="O193" sqref="O193"/>
    </sheetView>
  </sheetViews>
  <sheetFormatPr defaultRowHeight="14.4"/>
  <cols>
    <col min="1" max="1" width="16.77734375" customWidth="1"/>
    <col min="2" max="5" width="18.77734375" customWidth="1"/>
    <col min="6" max="6" width="15.77734375" customWidth="1"/>
    <col min="7" max="8" width="12.77734375" customWidth="1"/>
    <col min="9" max="11" width="25.77734375" customWidth="1"/>
    <col min="12" max="19" width="18.77734375" customWidth="1"/>
    <col min="20" max="27" width="16.77734375" customWidth="1"/>
  </cols>
  <sheetData>
    <row r="2" spans="2:24" ht="15" thickBot="1">
      <c r="V2" t="s">
        <v>129</v>
      </c>
      <c r="X2" t="s">
        <v>130</v>
      </c>
    </row>
    <row r="3" spans="2:24" ht="15" thickBot="1">
      <c r="B3" s="442"/>
      <c r="C3" s="443"/>
      <c r="D3" s="444"/>
      <c r="E3" s="453"/>
      <c r="F3" s="443"/>
      <c r="G3" s="443"/>
      <c r="H3" s="444"/>
      <c r="J3" s="274" t="s">
        <v>123</v>
      </c>
      <c r="K3" s="274" t="s">
        <v>124</v>
      </c>
      <c r="L3" s="274" t="s">
        <v>125</v>
      </c>
      <c r="O3" s="436" t="s">
        <v>301</v>
      </c>
      <c r="P3" s="436" t="s">
        <v>302</v>
      </c>
      <c r="Q3" s="436" t="s">
        <v>303</v>
      </c>
      <c r="R3" s="437">
        <v>27490.03</v>
      </c>
      <c r="S3" s="438">
        <v>2280.1218439999998</v>
      </c>
      <c r="T3" s="437">
        <v>29770.15</v>
      </c>
      <c r="V3">
        <v>3432</v>
      </c>
      <c r="X3">
        <v>1104</v>
      </c>
    </row>
    <row r="4" spans="2:24" ht="15" thickBot="1">
      <c r="B4" s="445" t="s">
        <v>328</v>
      </c>
      <c r="C4" s="446"/>
      <c r="D4" s="447"/>
      <c r="E4" s="454"/>
      <c r="F4" s="446"/>
      <c r="G4" s="446"/>
      <c r="H4" s="447"/>
      <c r="J4" s="274"/>
      <c r="K4" s="274"/>
      <c r="L4" s="274"/>
    </row>
    <row r="5" spans="2:24" ht="15" thickBot="1">
      <c r="B5" s="445"/>
      <c r="C5" s="446"/>
      <c r="D5" s="447"/>
      <c r="E5" s="454"/>
      <c r="F5" s="446"/>
      <c r="G5" s="446"/>
      <c r="H5" s="447"/>
      <c r="J5" s="274"/>
      <c r="K5" s="274"/>
      <c r="L5" s="274"/>
      <c r="O5" s="436" t="s">
        <v>304</v>
      </c>
      <c r="P5" s="436" t="s">
        <v>302</v>
      </c>
      <c r="Q5" s="436" t="s">
        <v>303</v>
      </c>
      <c r="R5" s="437">
        <v>48443</v>
      </c>
      <c r="S5" s="438">
        <v>3523.1061300000001</v>
      </c>
      <c r="T5" s="437">
        <v>51966.11</v>
      </c>
      <c r="V5">
        <v>3429</v>
      </c>
      <c r="X5">
        <v>1883</v>
      </c>
    </row>
    <row r="6" spans="2:24" ht="15" thickBot="1">
      <c r="B6" s="450" t="s">
        <v>126</v>
      </c>
      <c r="C6" s="451" t="s">
        <v>127</v>
      </c>
      <c r="D6" s="452" t="s">
        <v>128</v>
      </c>
      <c r="E6" s="455"/>
      <c r="F6" s="451" t="s">
        <v>129</v>
      </c>
      <c r="G6" s="451"/>
      <c r="H6" s="452" t="s">
        <v>130</v>
      </c>
      <c r="J6" s="275">
        <v>0</v>
      </c>
      <c r="K6" s="276">
        <v>2.0299999999999998</v>
      </c>
      <c r="L6" s="277"/>
    </row>
    <row r="7" spans="2:24" ht="15" thickBot="1">
      <c r="B7" s="458">
        <v>46795.91</v>
      </c>
      <c r="C7" s="459">
        <v>7234.5784450000001</v>
      </c>
      <c r="D7" s="460">
        <v>54030.49</v>
      </c>
      <c r="E7" s="456"/>
      <c r="F7" s="448">
        <v>3419</v>
      </c>
      <c r="G7" s="448"/>
      <c r="H7" s="449">
        <v>2452</v>
      </c>
      <c r="J7" s="278">
        <v>250</v>
      </c>
      <c r="K7" s="279">
        <v>2.0099999999999998</v>
      </c>
      <c r="L7" s="280">
        <f>(K6+K7)*(J7-J6)/2</f>
        <v>504.99999999999989</v>
      </c>
      <c r="O7" s="439" t="s">
        <v>305</v>
      </c>
      <c r="P7" s="439" t="s">
        <v>302</v>
      </c>
      <c r="Q7" s="439" t="s">
        <v>303</v>
      </c>
      <c r="R7" s="440">
        <v>20818.03</v>
      </c>
      <c r="S7" s="441">
        <v>1231.2536030000001</v>
      </c>
      <c r="T7" s="440">
        <v>22049.279999999999</v>
      </c>
      <c r="V7">
        <v>3522</v>
      </c>
      <c r="X7">
        <v>726</v>
      </c>
    </row>
    <row r="8" spans="2:24">
      <c r="J8" s="278">
        <v>500</v>
      </c>
      <c r="K8" s="279">
        <v>1.99</v>
      </c>
      <c r="L8" s="280">
        <f>(K7+K8)*(J8-J7)/2</f>
        <v>500</v>
      </c>
    </row>
    <row r="9" spans="2:24">
      <c r="J9" s="278">
        <v>3000</v>
      </c>
      <c r="K9" s="279">
        <v>1.58</v>
      </c>
      <c r="L9" s="280">
        <f>(K8+K9)*(J9-J8)/2</f>
        <v>4462.5</v>
      </c>
    </row>
    <row r="10" spans="2:24" ht="15" thickBot="1">
      <c r="J10" s="278">
        <v>6000</v>
      </c>
      <c r="K10" s="279">
        <v>0.38</v>
      </c>
      <c r="L10" s="280">
        <f>(K9+K10)*(J10-J9)/2</f>
        <v>2940</v>
      </c>
    </row>
    <row r="11" spans="2:24" ht="15" thickBot="1">
      <c r="B11" s="164" t="s">
        <v>131</v>
      </c>
      <c r="C11" s="165"/>
      <c r="D11" s="165"/>
      <c r="E11" s="165"/>
      <c r="F11" s="165"/>
      <c r="G11" s="165"/>
      <c r="H11" s="166"/>
      <c r="J11" s="281">
        <v>8760</v>
      </c>
      <c r="K11" s="282">
        <v>0.19</v>
      </c>
      <c r="L11" s="283">
        <f>(K10+K11)*(J11-J10)/2</f>
        <v>786.60000000000014</v>
      </c>
      <c r="R11">
        <f>R3*(F15/V3)*(H15/X3)</f>
        <v>21960.01045728501</v>
      </c>
      <c r="S11">
        <f>S3*(F15/V3)*(H15/X3)</f>
        <v>1821.4421569610504</v>
      </c>
    </row>
    <row r="12" spans="2:24">
      <c r="B12" s="167"/>
      <c r="H12" s="168"/>
      <c r="J12" s="274"/>
      <c r="K12" s="274"/>
      <c r="L12" s="274"/>
    </row>
    <row r="13" spans="2:24">
      <c r="B13" s="167"/>
      <c r="H13" s="168"/>
      <c r="J13" s="274"/>
      <c r="K13" s="274"/>
      <c r="L13" s="274">
        <f>SUM(L7:L11)</f>
        <v>9194.1</v>
      </c>
      <c r="R13">
        <f>R5*(F15/V5)*(H15/X5)</f>
        <v>22708.419407611225</v>
      </c>
      <c r="S13">
        <f>S5*(F15/V5)*(H15/X5)</f>
        <v>1651.5115004761487</v>
      </c>
    </row>
    <row r="14" spans="2:24">
      <c r="B14" s="167"/>
      <c r="F14" t="s">
        <v>129</v>
      </c>
      <c r="H14" s="168" t="s">
        <v>130</v>
      </c>
    </row>
    <row r="15" spans="2:24" ht="15" thickBot="1">
      <c r="B15" s="461">
        <f>B7*($F$15/$F$7)*($H$15/$H$7)</f>
        <v>16895.148438113567</v>
      </c>
      <c r="C15" s="462">
        <f>C7*($F$15/$F$7)*($H$15/$H$7)</f>
        <v>2611.9649498311246</v>
      </c>
      <c r="D15" s="462">
        <f>D7*($F$15/$F$7)*($H$15/$H$7)</f>
        <v>19507.11394936033</v>
      </c>
      <c r="E15" s="172"/>
      <c r="F15" s="172">
        <v>3479</v>
      </c>
      <c r="G15" s="172"/>
      <c r="H15" s="173">
        <v>870</v>
      </c>
      <c r="L15" s="284" t="s">
        <v>182</v>
      </c>
      <c r="R15">
        <f>R7*(F15/V7)*(H15/X7)</f>
        <v>24642.646044579291</v>
      </c>
      <c r="S15">
        <f>S7*(F15/V7)*(H15/X7)</f>
        <v>1457.4552313471522</v>
      </c>
    </row>
    <row r="17" spans="2:8" ht="15" thickBot="1"/>
    <row r="18" spans="2:8">
      <c r="B18" s="164" t="s">
        <v>132</v>
      </c>
      <c r="C18" s="165"/>
      <c r="D18" s="165"/>
      <c r="E18" s="165"/>
      <c r="F18" s="165"/>
      <c r="G18" s="165"/>
      <c r="H18" s="166"/>
    </row>
    <row r="19" spans="2:8">
      <c r="B19" s="167"/>
      <c r="H19" s="168"/>
    </row>
    <row r="20" spans="2:8">
      <c r="B20" s="167"/>
      <c r="H20" s="168"/>
    </row>
    <row r="21" spans="2:8">
      <c r="B21" s="167"/>
      <c r="H21" s="168" t="s">
        <v>130</v>
      </c>
    </row>
    <row r="22" spans="2:8" ht="15" thickBot="1">
      <c r="B22" s="461">
        <f>B15*($H$22/$H$15)</f>
        <v>11651.82650904384</v>
      </c>
      <c r="C22" s="462">
        <f>C15*($H$22/$H$15)</f>
        <v>1801.3551378145687</v>
      </c>
      <c r="D22" s="462">
        <f>D15*($H$22/$H$15)</f>
        <v>13453.182034041607</v>
      </c>
      <c r="E22" s="172"/>
      <c r="F22" s="172"/>
      <c r="G22" s="172"/>
      <c r="H22" s="173">
        <v>600</v>
      </c>
    </row>
    <row r="24" spans="2:8" ht="15" thickBot="1"/>
    <row r="25" spans="2:8">
      <c r="B25" s="164" t="s">
        <v>133</v>
      </c>
      <c r="C25" s="165"/>
      <c r="D25" s="165"/>
      <c r="E25" s="269">
        <v>400</v>
      </c>
    </row>
    <row r="26" spans="2:8">
      <c r="B26" s="167" t="s">
        <v>134</v>
      </c>
      <c r="C26" s="1"/>
      <c r="D26" s="1"/>
      <c r="E26" s="270">
        <v>180</v>
      </c>
    </row>
    <row r="27" spans="2:8">
      <c r="B27" s="167" t="s">
        <v>135</v>
      </c>
      <c r="C27" s="1"/>
      <c r="D27" s="1"/>
      <c r="E27" s="271">
        <v>2.7</v>
      </c>
    </row>
    <row r="28" spans="2:8">
      <c r="B28" s="167"/>
      <c r="C28" s="1"/>
      <c r="D28" s="1"/>
      <c r="E28" s="168"/>
    </row>
    <row r="29" spans="2:8">
      <c r="B29" s="167" t="s">
        <v>136</v>
      </c>
      <c r="C29" s="1"/>
      <c r="D29" s="1"/>
      <c r="E29" s="271">
        <f>E25*E26*E27</f>
        <v>194400</v>
      </c>
    </row>
    <row r="30" spans="2:8">
      <c r="B30" s="167"/>
      <c r="C30" s="1"/>
      <c r="D30" s="1"/>
      <c r="E30" s="168"/>
    </row>
    <row r="31" spans="2:8">
      <c r="B31" s="167"/>
      <c r="C31" s="1"/>
      <c r="D31" s="1"/>
      <c r="E31" s="168"/>
    </row>
    <row r="32" spans="2:8">
      <c r="B32" s="167" t="s">
        <v>137</v>
      </c>
      <c r="C32" s="1"/>
      <c r="D32" s="1"/>
      <c r="E32" s="463">
        <f>B22*1000000/8760/E26/E25</f>
        <v>18.473849741634705</v>
      </c>
    </row>
    <row r="33" spans="2:21">
      <c r="B33" s="167"/>
      <c r="C33" s="1"/>
      <c r="D33" s="1"/>
      <c r="E33" s="168"/>
    </row>
    <row r="34" spans="2:21" ht="15" thickBot="1">
      <c r="B34" s="178" t="s">
        <v>181</v>
      </c>
      <c r="C34" s="172"/>
      <c r="D34" s="172"/>
      <c r="E34" s="464">
        <f>B22*1000/E25/E26</f>
        <v>161.83092373672</v>
      </c>
    </row>
    <row r="40" spans="2:21" ht="15" thickBot="1">
      <c r="U40" t="s">
        <v>138</v>
      </c>
    </row>
    <row r="41" spans="2:21" ht="15" thickBot="1">
      <c r="B41" s="572" t="s">
        <v>139</v>
      </c>
      <c r="C41" s="574" t="s">
        <v>140</v>
      </c>
      <c r="D41" s="575"/>
      <c r="E41" s="575"/>
      <c r="F41" s="575"/>
      <c r="G41" s="575"/>
      <c r="H41" s="575"/>
      <c r="I41" s="575"/>
      <c r="J41" s="575"/>
      <c r="K41" s="575"/>
      <c r="L41" s="575"/>
      <c r="M41" s="575"/>
      <c r="N41" s="576"/>
      <c r="O41" s="574" t="s">
        <v>141</v>
      </c>
      <c r="P41" s="575"/>
      <c r="Q41" s="575"/>
      <c r="R41" s="576"/>
      <c r="S41" s="570" t="s">
        <v>142</v>
      </c>
      <c r="T41" s="165"/>
      <c r="U41" s="179">
        <v>478</v>
      </c>
    </row>
    <row r="42" spans="2:21" ht="15" thickBot="1">
      <c r="B42" s="573"/>
      <c r="C42" s="180" t="s">
        <v>143</v>
      </c>
      <c r="D42" s="180" t="s">
        <v>144</v>
      </c>
      <c r="E42" s="180" t="s">
        <v>145</v>
      </c>
      <c r="F42" s="180" t="s">
        <v>146</v>
      </c>
      <c r="G42" s="180" t="s">
        <v>147</v>
      </c>
      <c r="H42" s="180" t="s">
        <v>148</v>
      </c>
      <c r="I42" s="180" t="s">
        <v>149</v>
      </c>
      <c r="J42" s="180" t="s">
        <v>150</v>
      </c>
      <c r="K42" s="180" t="s">
        <v>151</v>
      </c>
      <c r="L42" s="180" t="s">
        <v>152</v>
      </c>
      <c r="M42" s="180" t="s">
        <v>153</v>
      </c>
      <c r="N42" s="180" t="s">
        <v>154</v>
      </c>
      <c r="O42" s="180" t="s">
        <v>155</v>
      </c>
      <c r="P42" s="180" t="s">
        <v>156</v>
      </c>
      <c r="Q42" s="180" t="s">
        <v>157</v>
      </c>
      <c r="R42" s="180" t="s">
        <v>158</v>
      </c>
      <c r="S42" s="571"/>
      <c r="U42" s="181"/>
    </row>
    <row r="43" spans="2:21" ht="15" thickBot="1">
      <c r="B43" s="182" t="s">
        <v>159</v>
      </c>
      <c r="C43" s="183">
        <v>1.3</v>
      </c>
      <c r="D43" s="184">
        <v>3.2</v>
      </c>
      <c r="E43" s="185">
        <v>8.5</v>
      </c>
      <c r="F43" s="186">
        <v>13.7</v>
      </c>
      <c r="G43" s="187">
        <v>19.600000000000001</v>
      </c>
      <c r="H43" s="188">
        <v>23.4</v>
      </c>
      <c r="I43" s="189">
        <v>26.1</v>
      </c>
      <c r="J43" s="190">
        <v>24.1</v>
      </c>
      <c r="K43" s="187">
        <v>19.8</v>
      </c>
      <c r="L43" s="191">
        <v>12.7</v>
      </c>
      <c r="M43" s="192">
        <v>7.2</v>
      </c>
      <c r="N43" s="184">
        <v>3.4</v>
      </c>
      <c r="O43" s="193">
        <v>2.6</v>
      </c>
      <c r="P43" s="194">
        <v>13.9</v>
      </c>
      <c r="Q43" s="195">
        <v>24.5</v>
      </c>
      <c r="R43" s="196">
        <v>13.2</v>
      </c>
      <c r="S43" s="194">
        <v>13.6</v>
      </c>
      <c r="U43" s="181"/>
    </row>
    <row r="44" spans="2:21" ht="15" thickBot="1">
      <c r="B44" s="197" t="s">
        <v>160</v>
      </c>
      <c r="C44" s="198">
        <v>-5</v>
      </c>
      <c r="D44" s="199">
        <v>-3.8</v>
      </c>
      <c r="E44" s="200">
        <v>0.2</v>
      </c>
      <c r="F44" s="201">
        <v>4.7</v>
      </c>
      <c r="G44" s="202">
        <v>8.4</v>
      </c>
      <c r="H44" s="203">
        <v>12.6</v>
      </c>
      <c r="I44" s="204">
        <v>14.8</v>
      </c>
      <c r="J44" s="205">
        <v>14.1</v>
      </c>
      <c r="K44" s="206">
        <v>11</v>
      </c>
      <c r="L44" s="207">
        <v>5.7</v>
      </c>
      <c r="M44" s="208">
        <v>0.8</v>
      </c>
      <c r="N44" s="209">
        <v>-2.4</v>
      </c>
      <c r="O44" s="210">
        <v>-3.7</v>
      </c>
      <c r="P44" s="211">
        <v>4.4000000000000004</v>
      </c>
      <c r="Q44" s="212">
        <v>13.8</v>
      </c>
      <c r="R44" s="213">
        <v>5.8</v>
      </c>
      <c r="S44" s="214">
        <v>5.0999999999999996</v>
      </c>
      <c r="T44" s="172"/>
      <c r="U44" s="215"/>
    </row>
    <row r="45" spans="2:21" ht="15" thickBot="1">
      <c r="U45" s="216"/>
    </row>
    <row r="46" spans="2:21" ht="15" thickBot="1">
      <c r="B46" s="572" t="s">
        <v>161</v>
      </c>
      <c r="C46" s="574" t="s">
        <v>140</v>
      </c>
      <c r="D46" s="575"/>
      <c r="E46" s="575"/>
      <c r="F46" s="575"/>
      <c r="G46" s="575"/>
      <c r="H46" s="575"/>
      <c r="I46" s="575"/>
      <c r="J46" s="575"/>
      <c r="K46" s="575"/>
      <c r="L46" s="575"/>
      <c r="M46" s="575"/>
      <c r="N46" s="576"/>
      <c r="O46" s="574" t="s">
        <v>141</v>
      </c>
      <c r="P46" s="575"/>
      <c r="Q46" s="575"/>
      <c r="R46" s="576"/>
      <c r="S46" s="570" t="s">
        <v>142</v>
      </c>
      <c r="T46" s="165"/>
      <c r="U46" s="179">
        <v>1121</v>
      </c>
    </row>
    <row r="47" spans="2:21" ht="15" thickBot="1">
      <c r="B47" s="573"/>
      <c r="C47" s="180" t="s">
        <v>143</v>
      </c>
      <c r="D47" s="180" t="s">
        <v>144</v>
      </c>
      <c r="E47" s="180" t="s">
        <v>145</v>
      </c>
      <c r="F47" s="180" t="s">
        <v>146</v>
      </c>
      <c r="G47" s="180" t="s">
        <v>147</v>
      </c>
      <c r="H47" s="180" t="s">
        <v>148</v>
      </c>
      <c r="I47" s="180" t="s">
        <v>149</v>
      </c>
      <c r="J47" s="180" t="s">
        <v>150</v>
      </c>
      <c r="K47" s="180" t="s">
        <v>151</v>
      </c>
      <c r="L47" s="180" t="s">
        <v>152</v>
      </c>
      <c r="M47" s="180" t="s">
        <v>153</v>
      </c>
      <c r="N47" s="180" t="s">
        <v>154</v>
      </c>
      <c r="O47" s="180" t="s">
        <v>155</v>
      </c>
      <c r="P47" s="180" t="s">
        <v>156</v>
      </c>
      <c r="Q47" s="180" t="s">
        <v>157</v>
      </c>
      <c r="R47" s="180" t="s">
        <v>158</v>
      </c>
      <c r="S47" s="571"/>
      <c r="U47" s="168"/>
    </row>
    <row r="48" spans="2:21" ht="15" thickBot="1">
      <c r="B48" s="182" t="s">
        <v>159</v>
      </c>
      <c r="C48" s="217">
        <v>6.1</v>
      </c>
      <c r="D48" s="192">
        <v>7.2</v>
      </c>
      <c r="E48" s="185">
        <v>8.9</v>
      </c>
      <c r="F48" s="218">
        <v>11.9</v>
      </c>
      <c r="G48" s="219">
        <v>16.5</v>
      </c>
      <c r="H48" s="187">
        <v>19.600000000000001</v>
      </c>
      <c r="I48" s="188">
        <v>23.1</v>
      </c>
      <c r="J48" s="220">
        <v>21.7</v>
      </c>
      <c r="K48" s="221">
        <v>18.5</v>
      </c>
      <c r="L48" s="191">
        <v>13.1</v>
      </c>
      <c r="M48" s="185">
        <v>8.6</v>
      </c>
      <c r="N48" s="192">
        <v>6.9</v>
      </c>
      <c r="O48" s="222">
        <v>6.7</v>
      </c>
      <c r="P48" s="223">
        <v>12.4</v>
      </c>
      <c r="Q48" s="224">
        <v>21.5</v>
      </c>
      <c r="R48" s="196">
        <v>13.4</v>
      </c>
      <c r="S48" s="194">
        <v>13.5</v>
      </c>
      <c r="U48" s="168"/>
    </row>
    <row r="49" spans="2:21" ht="15" thickBot="1">
      <c r="B49" s="197" t="s">
        <v>160</v>
      </c>
      <c r="C49" s="225">
        <v>-8.1999999999999993</v>
      </c>
      <c r="D49" s="226">
        <v>-7.4</v>
      </c>
      <c r="E49" s="227">
        <v>-3.1</v>
      </c>
      <c r="F49" s="200">
        <v>0</v>
      </c>
      <c r="G49" s="228">
        <v>4</v>
      </c>
      <c r="H49" s="229">
        <v>7.2</v>
      </c>
      <c r="I49" s="230">
        <v>9</v>
      </c>
      <c r="J49" s="202">
        <v>8.3000000000000007</v>
      </c>
      <c r="K49" s="207">
        <v>6.2</v>
      </c>
      <c r="L49" s="208">
        <v>1.4</v>
      </c>
      <c r="M49" s="227">
        <v>-3.2</v>
      </c>
      <c r="N49" s="231">
        <v>-5.9</v>
      </c>
      <c r="O49" s="232">
        <v>-7.2</v>
      </c>
      <c r="P49" s="233">
        <v>0.3</v>
      </c>
      <c r="Q49" s="234">
        <v>8.1999999999999993</v>
      </c>
      <c r="R49" s="235">
        <v>1.5</v>
      </c>
      <c r="S49" s="236">
        <v>0.7</v>
      </c>
      <c r="T49" s="172"/>
      <c r="U49" s="173"/>
    </row>
    <row r="52" spans="2:21" ht="15" thickBot="1"/>
    <row r="53" spans="2:21">
      <c r="T53" s="237"/>
      <c r="U53" s="238">
        <v>750</v>
      </c>
    </row>
    <row r="54" spans="2:21">
      <c r="T54" s="239"/>
      <c r="U54" s="176"/>
    </row>
    <row r="55" spans="2:21">
      <c r="T55" s="239"/>
      <c r="U55" s="176"/>
    </row>
    <row r="56" spans="2:21">
      <c r="T56" s="239"/>
      <c r="U56" s="176"/>
    </row>
    <row r="57" spans="2:21" ht="15" thickBot="1">
      <c r="T57" s="240"/>
      <c r="U57" s="241"/>
    </row>
    <row r="61" spans="2:21" ht="15" thickBot="1"/>
    <row r="62" spans="2:21" ht="15" thickBot="1">
      <c r="H62" s="478" t="s">
        <v>123</v>
      </c>
      <c r="I62" s="479" t="s">
        <v>310</v>
      </c>
      <c r="J62" s="479" t="s">
        <v>311</v>
      </c>
      <c r="K62" s="480" t="s">
        <v>312</v>
      </c>
    </row>
    <row r="63" spans="2:21">
      <c r="H63" s="481">
        <v>0</v>
      </c>
      <c r="I63" s="483">
        <v>-2</v>
      </c>
      <c r="J63" s="483">
        <v>16</v>
      </c>
      <c r="K63" s="484">
        <f>IF((J63-I63)&gt;0,J63-I63,0)</f>
        <v>18</v>
      </c>
    </row>
    <row r="64" spans="2:21">
      <c r="H64" s="482">
        <v>365</v>
      </c>
      <c r="I64" s="485">
        <v>-1.5115863141524106</v>
      </c>
      <c r="J64" s="486">
        <v>16</v>
      </c>
      <c r="K64" s="487">
        <f t="shared" ref="K64:K76" si="0">IF((J64-I64)&gt;0,J64-I64,0)</f>
        <v>17.51158631415241</v>
      </c>
    </row>
    <row r="65" spans="8:11">
      <c r="H65" s="482">
        <f>H64+730</f>
        <v>1095</v>
      </c>
      <c r="I65" s="485">
        <v>-0.21539657853810246</v>
      </c>
      <c r="J65" s="486">
        <v>16</v>
      </c>
      <c r="K65" s="487">
        <f t="shared" si="0"/>
        <v>16.215396578538101</v>
      </c>
    </row>
    <row r="66" spans="8:11">
      <c r="H66" s="482">
        <f t="shared" ref="H66:H75" si="1">H65+730</f>
        <v>1825</v>
      </c>
      <c r="I66" s="485">
        <v>0.5</v>
      </c>
      <c r="J66" s="486">
        <v>16</v>
      </c>
      <c r="K66" s="487">
        <f t="shared" si="0"/>
        <v>15.5</v>
      </c>
    </row>
    <row r="67" spans="8:11">
      <c r="H67" s="482">
        <f t="shared" si="1"/>
        <v>2555</v>
      </c>
      <c r="I67" s="485">
        <v>3.4500777604976669</v>
      </c>
      <c r="J67" s="486">
        <v>16</v>
      </c>
      <c r="K67" s="487">
        <f t="shared" si="0"/>
        <v>12.549922239502333</v>
      </c>
    </row>
    <row r="68" spans="8:11">
      <c r="H68" s="482">
        <f t="shared" si="1"/>
        <v>3285</v>
      </c>
      <c r="I68" s="485">
        <v>3.7366251944012445</v>
      </c>
      <c r="J68" s="486">
        <v>16</v>
      </c>
      <c r="K68" s="487">
        <f t="shared" si="0"/>
        <v>12.263374805598755</v>
      </c>
    </row>
    <row r="69" spans="8:11">
      <c r="H69" s="482">
        <f t="shared" si="1"/>
        <v>4015</v>
      </c>
      <c r="I69" s="485">
        <v>7.8251944012441683</v>
      </c>
      <c r="J69" s="486">
        <v>16</v>
      </c>
      <c r="K69" s="487">
        <f t="shared" si="0"/>
        <v>8.1748055987558317</v>
      </c>
    </row>
    <row r="70" spans="8:11">
      <c r="H70" s="482">
        <f t="shared" si="1"/>
        <v>4745</v>
      </c>
      <c r="I70" s="485">
        <v>8.3751166407465014</v>
      </c>
      <c r="J70" s="486">
        <v>16</v>
      </c>
      <c r="K70" s="487">
        <f t="shared" si="0"/>
        <v>7.6248833592534986</v>
      </c>
    </row>
    <row r="71" spans="8:11">
      <c r="H71" s="482">
        <f t="shared" si="1"/>
        <v>5475</v>
      </c>
      <c r="I71" s="485">
        <v>12.413685847589425</v>
      </c>
      <c r="J71" s="486">
        <v>16</v>
      </c>
      <c r="K71" s="487">
        <f t="shared" si="0"/>
        <v>3.5863141524105746</v>
      </c>
    </row>
    <row r="72" spans="8:11">
      <c r="H72" s="482">
        <f t="shared" si="1"/>
        <v>6205</v>
      </c>
      <c r="I72" s="485">
        <v>14.109797822706065</v>
      </c>
      <c r="J72" s="486">
        <v>16</v>
      </c>
      <c r="K72" s="487">
        <f t="shared" si="0"/>
        <v>1.8902021772939346</v>
      </c>
    </row>
    <row r="73" spans="8:11">
      <c r="H73" s="482">
        <f t="shared" si="1"/>
        <v>6935</v>
      </c>
      <c r="I73" s="485">
        <v>16.054121306376359</v>
      </c>
      <c r="J73" s="486">
        <v>16</v>
      </c>
      <c r="K73" s="487">
        <f t="shared" si="0"/>
        <v>0</v>
      </c>
    </row>
    <row r="74" spans="8:11">
      <c r="H74" s="482">
        <f t="shared" si="1"/>
        <v>7665</v>
      </c>
      <c r="I74" s="485">
        <v>17.365629860031106</v>
      </c>
      <c r="J74" s="486">
        <v>16</v>
      </c>
      <c r="K74" s="487">
        <f t="shared" si="0"/>
        <v>0</v>
      </c>
    </row>
    <row r="75" spans="8:11">
      <c r="H75" s="482">
        <f t="shared" si="1"/>
        <v>8395</v>
      </c>
      <c r="I75" s="485">
        <v>18.588724727838258</v>
      </c>
      <c r="J75" s="486">
        <v>16</v>
      </c>
      <c r="K75" s="487">
        <f t="shared" si="0"/>
        <v>0</v>
      </c>
    </row>
    <row r="76" spans="8:11" ht="15" thickBot="1">
      <c r="H76" s="458">
        <v>8760</v>
      </c>
      <c r="I76" s="488">
        <v>19</v>
      </c>
      <c r="J76" s="489">
        <v>16</v>
      </c>
      <c r="K76" s="457">
        <f t="shared" si="0"/>
        <v>0</v>
      </c>
    </row>
    <row r="92" spans="2:5" ht="15" thickBot="1">
      <c r="B92" t="s">
        <v>164</v>
      </c>
      <c r="C92" t="s">
        <v>165</v>
      </c>
    </row>
    <row r="93" spans="2:5">
      <c r="B93" s="169">
        <f>K63/$K$63</f>
        <v>1</v>
      </c>
      <c r="C93" s="237">
        <f>0.2</f>
        <v>0.2</v>
      </c>
      <c r="D93" s="237">
        <f>B93+C93</f>
        <v>1.2</v>
      </c>
      <c r="E93" s="171">
        <f>D93*($B$93/$D$93)</f>
        <v>1</v>
      </c>
    </row>
    <row r="94" spans="2:5">
      <c r="B94" s="174">
        <f t="shared" ref="B94:B106" si="2">K64/$K$63</f>
        <v>0.97286590634180059</v>
      </c>
      <c r="C94" s="239">
        <f t="shared" ref="C94:C106" si="3">0.2</f>
        <v>0.2</v>
      </c>
      <c r="D94" s="239">
        <f t="shared" ref="D94:D105" si="4">B94+C94</f>
        <v>1.1728659063418005</v>
      </c>
      <c r="E94" s="176">
        <f t="shared" ref="E94:E106" si="5">D94*($B$93/$D$93)</f>
        <v>0.97738825528483386</v>
      </c>
    </row>
    <row r="95" spans="2:5">
      <c r="B95" s="174">
        <f t="shared" si="2"/>
        <v>0.90085536547433898</v>
      </c>
      <c r="C95" s="239">
        <f t="shared" si="3"/>
        <v>0.2</v>
      </c>
      <c r="D95" s="239">
        <f t="shared" si="4"/>
        <v>1.1008553654743389</v>
      </c>
      <c r="E95" s="176">
        <f t="shared" si="5"/>
        <v>0.91737947122861585</v>
      </c>
    </row>
    <row r="96" spans="2:5">
      <c r="B96" s="174">
        <f t="shared" si="2"/>
        <v>0.86111111111111116</v>
      </c>
      <c r="C96" s="239">
        <f t="shared" si="3"/>
        <v>0.2</v>
      </c>
      <c r="D96" s="239">
        <f t="shared" si="4"/>
        <v>1.0611111111111111</v>
      </c>
      <c r="E96" s="176">
        <f t="shared" si="5"/>
        <v>0.8842592592592593</v>
      </c>
    </row>
    <row r="97" spans="2:6">
      <c r="B97" s="174">
        <f t="shared" si="2"/>
        <v>0.69721790219457402</v>
      </c>
      <c r="C97" s="239">
        <f t="shared" si="3"/>
        <v>0.2</v>
      </c>
      <c r="D97" s="239">
        <f t="shared" si="4"/>
        <v>0.89721790219457409</v>
      </c>
      <c r="E97" s="176">
        <f t="shared" si="5"/>
        <v>0.74768158516214511</v>
      </c>
    </row>
    <row r="98" spans="2:6">
      <c r="B98" s="174">
        <f t="shared" si="2"/>
        <v>0.68129860031104195</v>
      </c>
      <c r="C98" s="239">
        <f t="shared" si="3"/>
        <v>0.2</v>
      </c>
      <c r="D98" s="239">
        <f t="shared" si="4"/>
        <v>0.8812986003110419</v>
      </c>
      <c r="E98" s="176">
        <f t="shared" si="5"/>
        <v>0.73441550025920166</v>
      </c>
    </row>
    <row r="99" spans="2:6">
      <c r="B99" s="174">
        <f t="shared" si="2"/>
        <v>0.4541558665975462</v>
      </c>
      <c r="C99" s="239">
        <f t="shared" si="3"/>
        <v>0.2</v>
      </c>
      <c r="D99" s="239">
        <f t="shared" si="4"/>
        <v>0.65415586659754621</v>
      </c>
      <c r="E99" s="176">
        <f t="shared" si="5"/>
        <v>0.54512988883128854</v>
      </c>
    </row>
    <row r="100" spans="2:6">
      <c r="B100" s="174">
        <f t="shared" si="2"/>
        <v>0.4236046310696388</v>
      </c>
      <c r="C100" s="239">
        <f t="shared" si="3"/>
        <v>0.2</v>
      </c>
      <c r="D100" s="239">
        <f t="shared" si="4"/>
        <v>0.62360463106963882</v>
      </c>
      <c r="E100" s="176">
        <f t="shared" si="5"/>
        <v>0.51967052589136575</v>
      </c>
    </row>
    <row r="101" spans="2:6">
      <c r="B101" s="174">
        <f t="shared" si="2"/>
        <v>0.19923967513392082</v>
      </c>
      <c r="C101" s="239">
        <f t="shared" si="3"/>
        <v>0.2</v>
      </c>
      <c r="D101" s="239">
        <f t="shared" si="4"/>
        <v>0.39923967513392083</v>
      </c>
      <c r="E101" s="176">
        <f t="shared" si="5"/>
        <v>0.33269972927826735</v>
      </c>
    </row>
    <row r="102" spans="2:6">
      <c r="B102" s="174">
        <f t="shared" si="2"/>
        <v>0.10501123207188526</v>
      </c>
      <c r="C102" s="239">
        <f t="shared" si="3"/>
        <v>0.2</v>
      </c>
      <c r="D102" s="239">
        <f t="shared" si="4"/>
        <v>0.3050112320718853</v>
      </c>
      <c r="E102" s="176">
        <f t="shared" si="5"/>
        <v>0.25417602672657108</v>
      </c>
    </row>
    <row r="103" spans="2:6">
      <c r="B103" s="174">
        <f t="shared" si="2"/>
        <v>0</v>
      </c>
      <c r="C103" s="239">
        <f t="shared" si="3"/>
        <v>0.2</v>
      </c>
      <c r="D103" s="239">
        <f t="shared" si="4"/>
        <v>0.2</v>
      </c>
      <c r="E103" s="176">
        <f t="shared" si="5"/>
        <v>0.16666666666666669</v>
      </c>
    </row>
    <row r="104" spans="2:6">
      <c r="B104" s="174">
        <f t="shared" si="2"/>
        <v>0</v>
      </c>
      <c r="C104" s="239">
        <f t="shared" si="3"/>
        <v>0.2</v>
      </c>
      <c r="D104" s="239">
        <f t="shared" si="4"/>
        <v>0.2</v>
      </c>
      <c r="E104" s="176">
        <f t="shared" si="5"/>
        <v>0.16666666666666669</v>
      </c>
    </row>
    <row r="105" spans="2:6">
      <c r="B105" s="174">
        <f t="shared" si="2"/>
        <v>0</v>
      </c>
      <c r="C105" s="239">
        <f t="shared" si="3"/>
        <v>0.2</v>
      </c>
      <c r="D105" s="239">
        <f t="shared" si="4"/>
        <v>0.2</v>
      </c>
      <c r="E105" s="176">
        <f t="shared" si="5"/>
        <v>0.16666666666666669</v>
      </c>
    </row>
    <row r="106" spans="2:6" ht="15" thickBot="1">
      <c r="B106" s="177">
        <f t="shared" si="2"/>
        <v>0</v>
      </c>
      <c r="C106" s="240">
        <f t="shared" si="3"/>
        <v>0.2</v>
      </c>
      <c r="D106" s="240">
        <f>B106+C106</f>
        <v>0.2</v>
      </c>
      <c r="E106" s="241">
        <f t="shared" si="5"/>
        <v>0.16666666666666669</v>
      </c>
    </row>
    <row r="108" spans="2:6" ht="15" thickBot="1">
      <c r="F108" t="s">
        <v>166</v>
      </c>
    </row>
    <row r="109" spans="2:6">
      <c r="B109" s="169">
        <v>0</v>
      </c>
      <c r="C109" s="237">
        <v>1</v>
      </c>
      <c r="D109" s="237"/>
      <c r="E109" s="237"/>
      <c r="F109" s="171">
        <f>C109*($E$125/$D$125)</f>
        <v>2.486799503536528</v>
      </c>
    </row>
    <row r="110" spans="2:6">
      <c r="B110" s="243">
        <v>365</v>
      </c>
      <c r="C110" s="239">
        <v>0.97738825528483386</v>
      </c>
      <c r="D110" s="239">
        <f>(C109+C110)*(B110-B109)/2</f>
        <v>360.87335658948217</v>
      </c>
      <c r="E110" s="239">
        <f>D110*($B$22/$D$125)</f>
        <v>897.41968400628502</v>
      </c>
      <c r="F110" s="176">
        <f t="shared" ref="F110:F121" si="6">C110*($E$125/$D$125)</f>
        <v>2.430568628004758</v>
      </c>
    </row>
    <row r="111" spans="2:6">
      <c r="B111" s="243">
        <v>1095</v>
      </c>
      <c r="C111" s="239">
        <v>0.91737947122861585</v>
      </c>
      <c r="D111" s="239">
        <f t="shared" ref="D111:D122" si="7">(C110+C111)*(B111-B110)/2</f>
        <v>691.59022017740915</v>
      </c>
      <c r="E111" s="239">
        <f t="shared" ref="E111:E122" si="8">D111*($B$22/$D$125)</f>
        <v>1719.8462161878997</v>
      </c>
      <c r="F111" s="176">
        <f t="shared" si="6"/>
        <v>2.2813388136059243</v>
      </c>
    </row>
    <row r="112" spans="2:6">
      <c r="B112" s="243">
        <v>1825</v>
      </c>
      <c r="C112" s="239">
        <v>0.8842592592592593</v>
      </c>
      <c r="D112" s="239">
        <f t="shared" si="7"/>
        <v>657.59813662807449</v>
      </c>
      <c r="E112" s="239">
        <f t="shared" si="8"/>
        <v>1635.3147196932421</v>
      </c>
      <c r="F112" s="176">
        <f t="shared" si="6"/>
        <v>2.1989754869235041</v>
      </c>
    </row>
    <row r="113" spans="2:6">
      <c r="B113" s="243">
        <v>2555</v>
      </c>
      <c r="C113" s="239">
        <v>0.74768158516214511</v>
      </c>
      <c r="D113" s="239">
        <f t="shared" si="7"/>
        <v>595.65840821381266</v>
      </c>
      <c r="E113" s="239">
        <f t="shared" si="8"/>
        <v>1481.2830338234685</v>
      </c>
      <c r="F113" s="176">
        <f t="shared" si="6"/>
        <v>1.8593341947846267</v>
      </c>
    </row>
    <row r="114" spans="2:6">
      <c r="B114" s="243">
        <v>3285</v>
      </c>
      <c r="C114" s="239">
        <v>0.73441550025920166</v>
      </c>
      <c r="D114" s="239">
        <f t="shared" si="7"/>
        <v>540.96543617879161</v>
      </c>
      <c r="E114" s="239">
        <f t="shared" si="8"/>
        <v>1345.2725781198408</v>
      </c>
      <c r="F114" s="176">
        <f t="shared" si="6"/>
        <v>1.8263441014341135</v>
      </c>
    </row>
    <row r="115" spans="2:6">
      <c r="B115" s="243">
        <v>4015</v>
      </c>
      <c r="C115" s="239">
        <v>0.54512988883128854</v>
      </c>
      <c r="D115" s="239">
        <f t="shared" si="7"/>
        <v>467.03406701802891</v>
      </c>
      <c r="E115" s="239">
        <f t="shared" si="8"/>
        <v>1161.4200859950802</v>
      </c>
      <c r="F115" s="176">
        <f t="shared" si="6"/>
        <v>1.3556287369085711</v>
      </c>
    </row>
    <row r="116" spans="2:6">
      <c r="B116" s="243">
        <v>4745</v>
      </c>
      <c r="C116" s="239">
        <v>0.51967052589136575</v>
      </c>
      <c r="D116" s="239">
        <f t="shared" si="7"/>
        <v>388.65215137376885</v>
      </c>
      <c r="E116" s="239">
        <f t="shared" si="8"/>
        <v>966.4999770846922</v>
      </c>
      <c r="F116" s="176">
        <f t="shared" si="6"/>
        <v>1.2923164057892147</v>
      </c>
    </row>
    <row r="117" spans="2:6">
      <c r="B117" s="243">
        <v>5475</v>
      </c>
      <c r="C117" s="239">
        <v>0.33269972927826735</v>
      </c>
      <c r="D117" s="239">
        <f t="shared" si="7"/>
        <v>311.11514313691606</v>
      </c>
      <c r="E117" s="239">
        <f t="shared" si="8"/>
        <v>773.68098349557897</v>
      </c>
      <c r="F117" s="176">
        <f t="shared" si="6"/>
        <v>0.82735752159593257</v>
      </c>
    </row>
    <row r="118" spans="2:6">
      <c r="B118" s="243">
        <v>6205</v>
      </c>
      <c r="C118" s="239">
        <v>0.25417602672657108</v>
      </c>
      <c r="D118" s="239">
        <f t="shared" si="7"/>
        <v>214.20965094176603</v>
      </c>
      <c r="E118" s="239">
        <f t="shared" si="8"/>
        <v>532.69645361471692</v>
      </c>
      <c r="F118" s="176">
        <f t="shared" si="6"/>
        <v>0.63208481707452424</v>
      </c>
    </row>
    <row r="119" spans="2:6">
      <c r="B119" s="243">
        <v>6935</v>
      </c>
      <c r="C119" s="239">
        <v>0.16666666666666669</v>
      </c>
      <c r="D119" s="239">
        <f t="shared" si="7"/>
        <v>153.60758308853178</v>
      </c>
      <c r="E119" s="239">
        <f t="shared" si="8"/>
        <v>381.99126136400696</v>
      </c>
      <c r="F119" s="176">
        <f t="shared" si="6"/>
        <v>0.41446658392275471</v>
      </c>
    </row>
    <row r="120" spans="2:6">
      <c r="B120" s="243">
        <v>7665</v>
      </c>
      <c r="C120" s="239">
        <v>0.16666666666666669</v>
      </c>
      <c r="D120" s="239">
        <f t="shared" si="7"/>
        <v>121.66666666666669</v>
      </c>
      <c r="E120" s="239">
        <f t="shared" si="8"/>
        <v>302.56060626361108</v>
      </c>
      <c r="F120" s="176">
        <f t="shared" si="6"/>
        <v>0.41446658392275471</v>
      </c>
    </row>
    <row r="121" spans="2:6">
      <c r="B121" s="243">
        <v>8395</v>
      </c>
      <c r="C121" s="239">
        <v>0.16666666666666669</v>
      </c>
      <c r="D121" s="239">
        <f t="shared" si="7"/>
        <v>121.66666666666669</v>
      </c>
      <c r="E121" s="239">
        <f t="shared" si="8"/>
        <v>302.56060626361108</v>
      </c>
      <c r="F121" s="176">
        <f t="shared" si="6"/>
        <v>0.41446658392275471</v>
      </c>
    </row>
    <row r="122" spans="2:6" ht="15" thickBot="1">
      <c r="B122" s="177">
        <v>8760</v>
      </c>
      <c r="C122" s="240">
        <v>0.16666666666666669</v>
      </c>
      <c r="D122" s="240">
        <f t="shared" si="7"/>
        <v>60.833333333333343</v>
      </c>
      <c r="E122" s="240">
        <f t="shared" si="8"/>
        <v>151.28030313180554</v>
      </c>
      <c r="F122" s="241">
        <f>C122*($E$125/$D$125)</f>
        <v>0.41446658392275471</v>
      </c>
    </row>
    <row r="125" spans="2:6">
      <c r="D125">
        <f>SUM(D110:D122)</f>
        <v>4685.4708200132491</v>
      </c>
      <c r="E125">
        <f>SUM(E110:E122)</f>
        <v>11651.826509043836</v>
      </c>
    </row>
    <row r="138" spans="2:6">
      <c r="B138" t="s">
        <v>180</v>
      </c>
      <c r="E138" s="467">
        <f>C15</f>
        <v>2611.9649498311246</v>
      </c>
    </row>
    <row r="139" spans="2:6" ht="15" thickBot="1"/>
    <row r="140" spans="2:6" ht="15" thickBot="1">
      <c r="B140" s="254"/>
      <c r="C140" s="255"/>
      <c r="D140" s="255"/>
      <c r="E140" s="256" t="s">
        <v>306</v>
      </c>
      <c r="F140" s="260" t="s">
        <v>307</v>
      </c>
    </row>
    <row r="141" spans="2:6">
      <c r="B141" s="169" t="s">
        <v>168</v>
      </c>
      <c r="C141" s="272">
        <v>165</v>
      </c>
      <c r="D141" s="237">
        <f t="shared" ref="D141:D152" si="9">C141/MAX($C$141:$C$152)</f>
        <v>0.6875</v>
      </c>
      <c r="E141" s="170">
        <f t="shared" ref="E141:E152" si="10">D141*($E$138/$D$154)</f>
        <v>179.6474434023074</v>
      </c>
      <c r="F141" s="262">
        <f t="shared" ref="F141:F152" si="11">E141/30/24*1000</f>
        <v>249.51033805876031</v>
      </c>
    </row>
    <row r="142" spans="2:6">
      <c r="B142" s="174" t="s">
        <v>169</v>
      </c>
      <c r="C142" s="273">
        <v>159</v>
      </c>
      <c r="D142" s="239">
        <f t="shared" si="9"/>
        <v>0.66249999999999998</v>
      </c>
      <c r="E142" s="175">
        <f t="shared" si="10"/>
        <v>173.11480909676897</v>
      </c>
      <c r="F142" s="263">
        <f t="shared" si="11"/>
        <v>240.43723485662358</v>
      </c>
    </row>
    <row r="143" spans="2:6">
      <c r="B143" s="174" t="s">
        <v>170</v>
      </c>
      <c r="C143" s="273">
        <v>165</v>
      </c>
      <c r="D143" s="239">
        <f t="shared" si="9"/>
        <v>0.6875</v>
      </c>
      <c r="E143" s="175">
        <f t="shared" si="10"/>
        <v>179.6474434023074</v>
      </c>
      <c r="F143" s="263">
        <f t="shared" si="11"/>
        <v>249.51033805876031</v>
      </c>
    </row>
    <row r="144" spans="2:6">
      <c r="B144" s="174" t="s">
        <v>171</v>
      </c>
      <c r="C144" s="273">
        <v>180</v>
      </c>
      <c r="D144" s="239">
        <f t="shared" si="9"/>
        <v>0.75</v>
      </c>
      <c r="E144" s="175">
        <f t="shared" si="10"/>
        <v>195.97902916615354</v>
      </c>
      <c r="F144" s="263">
        <f t="shared" si="11"/>
        <v>272.19309606410212</v>
      </c>
    </row>
    <row r="145" spans="2:6">
      <c r="B145" s="174" t="s">
        <v>172</v>
      </c>
      <c r="C145" s="273">
        <v>200</v>
      </c>
      <c r="D145" s="239">
        <f t="shared" si="9"/>
        <v>0.83333333333333337</v>
      </c>
      <c r="E145" s="175">
        <f t="shared" si="10"/>
        <v>217.75447685128171</v>
      </c>
      <c r="F145" s="263">
        <f t="shared" si="11"/>
        <v>302.43677340455793</v>
      </c>
    </row>
    <row r="146" spans="2:6">
      <c r="B146" s="174" t="s">
        <v>173</v>
      </c>
      <c r="C146" s="273">
        <v>220</v>
      </c>
      <c r="D146" s="239">
        <f t="shared" si="9"/>
        <v>0.91666666666666663</v>
      </c>
      <c r="E146" s="175">
        <f t="shared" si="10"/>
        <v>239.52992453640988</v>
      </c>
      <c r="F146" s="263">
        <f t="shared" si="11"/>
        <v>332.68045074501373</v>
      </c>
    </row>
    <row r="147" spans="2:6">
      <c r="B147" s="174" t="s">
        <v>174</v>
      </c>
      <c r="C147" s="273">
        <v>235</v>
      </c>
      <c r="D147" s="239">
        <f t="shared" si="9"/>
        <v>0.97916666666666663</v>
      </c>
      <c r="E147" s="175">
        <f t="shared" si="10"/>
        <v>255.86151030025599</v>
      </c>
      <c r="F147" s="263">
        <f t="shared" si="11"/>
        <v>355.36320875035557</v>
      </c>
    </row>
    <row r="148" spans="2:6">
      <c r="B148" s="174" t="s">
        <v>175</v>
      </c>
      <c r="C148" s="273">
        <v>240</v>
      </c>
      <c r="D148" s="239">
        <f t="shared" si="9"/>
        <v>1</v>
      </c>
      <c r="E148" s="175">
        <f t="shared" si="10"/>
        <v>261.30537222153805</v>
      </c>
      <c r="F148" s="263">
        <f t="shared" si="11"/>
        <v>362.92412808546953</v>
      </c>
    </row>
    <row r="149" spans="2:6">
      <c r="B149" s="174" t="s">
        <v>176</v>
      </c>
      <c r="C149" s="273">
        <v>235</v>
      </c>
      <c r="D149" s="239">
        <f t="shared" si="9"/>
        <v>0.97916666666666663</v>
      </c>
      <c r="E149" s="175">
        <f t="shared" si="10"/>
        <v>255.86151030025599</v>
      </c>
      <c r="F149" s="263">
        <f t="shared" si="11"/>
        <v>355.36320875035557</v>
      </c>
    </row>
    <row r="150" spans="2:6">
      <c r="B150" s="174" t="s">
        <v>177</v>
      </c>
      <c r="C150" s="273">
        <v>220</v>
      </c>
      <c r="D150" s="239">
        <f t="shared" si="9"/>
        <v>0.91666666666666663</v>
      </c>
      <c r="E150" s="175">
        <f t="shared" si="10"/>
        <v>239.52992453640988</v>
      </c>
      <c r="F150" s="263">
        <f t="shared" si="11"/>
        <v>332.68045074501373</v>
      </c>
    </row>
    <row r="151" spans="2:6">
      <c r="B151" s="174" t="s">
        <v>178</v>
      </c>
      <c r="C151" s="273">
        <v>200</v>
      </c>
      <c r="D151" s="239">
        <f t="shared" si="9"/>
        <v>0.83333333333333337</v>
      </c>
      <c r="E151" s="175">
        <f t="shared" si="10"/>
        <v>217.75447685128171</v>
      </c>
      <c r="F151" s="263">
        <f t="shared" si="11"/>
        <v>302.43677340455793</v>
      </c>
    </row>
    <row r="152" spans="2:6" ht="15" thickBot="1">
      <c r="B152" s="174" t="s">
        <v>179</v>
      </c>
      <c r="C152" s="273">
        <v>180</v>
      </c>
      <c r="D152" s="239">
        <f t="shared" si="9"/>
        <v>0.75</v>
      </c>
      <c r="E152" s="175">
        <f t="shared" si="10"/>
        <v>195.97902916615354</v>
      </c>
      <c r="F152" s="264">
        <f t="shared" si="11"/>
        <v>272.19309606410212</v>
      </c>
    </row>
    <row r="153" spans="2:6" ht="15" thickBot="1">
      <c r="B153" s="177"/>
      <c r="C153" s="240"/>
      <c r="D153" s="240"/>
      <c r="E153" s="241"/>
      <c r="F153" s="261"/>
    </row>
    <row r="154" spans="2:6" ht="15" thickBot="1">
      <c r="B154" s="257"/>
      <c r="C154" s="258"/>
      <c r="D154" s="258">
        <f>SUM(D141:D152)</f>
        <v>9.9958333333333353</v>
      </c>
      <c r="E154" s="259">
        <f>SUM(E141:E152)</f>
        <v>2611.9649498311237</v>
      </c>
    </row>
    <row r="158" spans="2:6" ht="15" thickBot="1"/>
    <row r="159" spans="2:6">
      <c r="B159" s="169">
        <v>0</v>
      </c>
      <c r="C159" s="237">
        <f>F142</f>
        <v>240.43723485662358</v>
      </c>
      <c r="D159" s="171">
        <f>F109*1000</f>
        <v>2486.7995035365279</v>
      </c>
    </row>
    <row r="160" spans="2:6">
      <c r="B160" s="243">
        <v>365</v>
      </c>
      <c r="C160" s="239">
        <f>F142</f>
        <v>240.43723485662358</v>
      </c>
      <c r="D160" s="176">
        <f t="shared" ref="D160:D172" si="12">F110*1000</f>
        <v>2430.568628004758</v>
      </c>
    </row>
    <row r="161" spans="2:5">
      <c r="B161" s="243">
        <v>1095</v>
      </c>
      <c r="C161" s="239">
        <f>F141</f>
        <v>249.51033805876031</v>
      </c>
      <c r="D161" s="176">
        <f t="shared" si="12"/>
        <v>2281.3388136059243</v>
      </c>
    </row>
    <row r="162" spans="2:5">
      <c r="B162" s="243">
        <v>1825</v>
      </c>
      <c r="C162" s="239">
        <f>F141</f>
        <v>249.51033805876031</v>
      </c>
      <c r="D162" s="176">
        <f t="shared" si="12"/>
        <v>2198.9754869235039</v>
      </c>
    </row>
    <row r="163" spans="2:5">
      <c r="B163" s="243">
        <v>2555</v>
      </c>
      <c r="C163" s="239">
        <f>F144</f>
        <v>272.19309606410212</v>
      </c>
      <c r="D163" s="176">
        <f t="shared" si="12"/>
        <v>1859.3341947846268</v>
      </c>
    </row>
    <row r="164" spans="2:5">
      <c r="B164" s="243">
        <v>3285</v>
      </c>
      <c r="C164" s="239">
        <f>F152</f>
        <v>272.19309606410212</v>
      </c>
      <c r="D164" s="176">
        <f t="shared" si="12"/>
        <v>1826.3441014341136</v>
      </c>
    </row>
    <row r="165" spans="2:5">
      <c r="B165" s="243">
        <v>4015</v>
      </c>
      <c r="C165" s="239">
        <f>F145</f>
        <v>302.43677340455793</v>
      </c>
      <c r="D165" s="176">
        <f t="shared" si="12"/>
        <v>1355.628736908571</v>
      </c>
    </row>
    <row r="166" spans="2:5">
      <c r="B166" s="243">
        <v>4745</v>
      </c>
      <c r="C166" s="239">
        <f>F151</f>
        <v>302.43677340455793</v>
      </c>
      <c r="D166" s="176">
        <f t="shared" si="12"/>
        <v>1292.3164057892147</v>
      </c>
    </row>
    <row r="167" spans="2:5">
      <c r="B167" s="243">
        <v>5475</v>
      </c>
      <c r="C167" s="239">
        <f>F146</f>
        <v>332.68045074501373</v>
      </c>
      <c r="D167" s="176">
        <f t="shared" si="12"/>
        <v>827.35752159593255</v>
      </c>
    </row>
    <row r="168" spans="2:5">
      <c r="B168" s="243">
        <v>6205</v>
      </c>
      <c r="C168" s="239">
        <f>F146</f>
        <v>332.68045074501373</v>
      </c>
      <c r="D168" s="176">
        <f t="shared" si="12"/>
        <v>632.08481707452427</v>
      </c>
    </row>
    <row r="169" spans="2:5">
      <c r="B169" s="243">
        <v>6935</v>
      </c>
      <c r="C169" s="239">
        <f>F149</f>
        <v>355.36320875035557</v>
      </c>
      <c r="D169" s="176">
        <f t="shared" si="12"/>
        <v>414.46658392275469</v>
      </c>
    </row>
    <row r="170" spans="2:5">
      <c r="B170" s="243">
        <v>7665</v>
      </c>
      <c r="C170" s="239">
        <f>F147</f>
        <v>355.36320875035557</v>
      </c>
      <c r="D170" s="176">
        <f t="shared" si="12"/>
        <v>414.46658392275469</v>
      </c>
    </row>
    <row r="171" spans="2:5">
      <c r="B171" s="243">
        <v>8395</v>
      </c>
      <c r="C171" s="239">
        <f>F148</f>
        <v>362.92412808546953</v>
      </c>
      <c r="D171" s="176">
        <f t="shared" si="12"/>
        <v>414.46658392275469</v>
      </c>
    </row>
    <row r="172" spans="2:5" ht="15" thickBot="1">
      <c r="B172" s="177">
        <v>8760</v>
      </c>
      <c r="C172" s="240">
        <f>F148</f>
        <v>362.92412808546953</v>
      </c>
      <c r="D172" s="241">
        <f t="shared" si="12"/>
        <v>414.46658392275469</v>
      </c>
    </row>
    <row r="175" spans="2:5" ht="15" thickBot="1"/>
    <row r="176" spans="2:5">
      <c r="B176" s="468"/>
      <c r="C176" s="465" t="s">
        <v>329</v>
      </c>
      <c r="D176" s="465" t="s">
        <v>334</v>
      </c>
      <c r="E176" s="469" t="s">
        <v>335</v>
      </c>
    </row>
    <row r="177" spans="2:5">
      <c r="B177" s="174" t="s">
        <v>168</v>
      </c>
      <c r="C177" s="287">
        <v>0.6875</v>
      </c>
      <c r="D177" s="486">
        <v>179.6474434023074</v>
      </c>
      <c r="E177" s="487">
        <v>249.51033805876031</v>
      </c>
    </row>
    <row r="178" spans="2:5">
      <c r="B178" s="174" t="s">
        <v>169</v>
      </c>
      <c r="C178" s="287">
        <v>0.66249999999999998</v>
      </c>
      <c r="D178" s="486">
        <v>173.11480909676897</v>
      </c>
      <c r="E178" s="487">
        <v>240.43723485662358</v>
      </c>
    </row>
    <row r="179" spans="2:5">
      <c r="B179" s="174" t="s">
        <v>170</v>
      </c>
      <c r="C179" s="287">
        <v>0.6875</v>
      </c>
      <c r="D179" s="486">
        <v>179.6474434023074</v>
      </c>
      <c r="E179" s="487">
        <v>249.51033805876031</v>
      </c>
    </row>
    <row r="180" spans="2:5">
      <c r="B180" s="174" t="s">
        <v>171</v>
      </c>
      <c r="C180" s="287">
        <v>0.75</v>
      </c>
      <c r="D180" s="486">
        <v>195.97902916615354</v>
      </c>
      <c r="E180" s="487">
        <v>272.19309606410212</v>
      </c>
    </row>
    <row r="181" spans="2:5">
      <c r="B181" s="174" t="s">
        <v>172</v>
      </c>
      <c r="C181" s="287">
        <v>0.83333333333333337</v>
      </c>
      <c r="D181" s="486">
        <v>217.75447685128171</v>
      </c>
      <c r="E181" s="487">
        <v>302.43677340455793</v>
      </c>
    </row>
    <row r="182" spans="2:5">
      <c r="B182" s="174" t="s">
        <v>173</v>
      </c>
      <c r="C182" s="287">
        <v>0.91666666666666663</v>
      </c>
      <c r="D182" s="486">
        <v>239.52992453640988</v>
      </c>
      <c r="E182" s="487">
        <v>332.68045074501373</v>
      </c>
    </row>
    <row r="183" spans="2:5">
      <c r="B183" s="174" t="s">
        <v>174</v>
      </c>
      <c r="C183" s="287">
        <v>0.97916666666666663</v>
      </c>
      <c r="D183" s="486">
        <v>255.86151030025599</v>
      </c>
      <c r="E183" s="487">
        <v>355.36320875035557</v>
      </c>
    </row>
    <row r="184" spans="2:5">
      <c r="B184" s="174" t="s">
        <v>175</v>
      </c>
      <c r="C184" s="287">
        <v>1</v>
      </c>
      <c r="D184" s="486">
        <v>261.30537222153805</v>
      </c>
      <c r="E184" s="487">
        <v>362.92412808546953</v>
      </c>
    </row>
    <row r="185" spans="2:5">
      <c r="B185" s="174" t="s">
        <v>176</v>
      </c>
      <c r="C185" s="287">
        <v>0.97916666666666663</v>
      </c>
      <c r="D185" s="486">
        <v>255.86151030025599</v>
      </c>
      <c r="E185" s="487">
        <v>355.36320875035557</v>
      </c>
    </row>
    <row r="186" spans="2:5">
      <c r="B186" s="174" t="s">
        <v>177</v>
      </c>
      <c r="C186" s="287">
        <v>0.91666666666666663</v>
      </c>
      <c r="D186" s="486">
        <v>239.52992453640988</v>
      </c>
      <c r="E186" s="487">
        <v>332.68045074501373</v>
      </c>
    </row>
    <row r="187" spans="2:5">
      <c r="B187" s="174" t="s">
        <v>178</v>
      </c>
      <c r="C187" s="287">
        <v>0.83333333333333337</v>
      </c>
      <c r="D187" s="486">
        <v>217.75447685128171</v>
      </c>
      <c r="E187" s="487">
        <v>302.43677340455793</v>
      </c>
    </row>
    <row r="188" spans="2:5">
      <c r="B188" s="174" t="s">
        <v>179</v>
      </c>
      <c r="C188" s="287">
        <v>0.75</v>
      </c>
      <c r="D188" s="486">
        <v>195.97902916615354</v>
      </c>
      <c r="E188" s="487">
        <v>272.19309606410212</v>
      </c>
    </row>
    <row r="189" spans="2:5" ht="15" thickBot="1">
      <c r="B189" s="466"/>
      <c r="C189" s="521"/>
      <c r="D189" s="521"/>
      <c r="E189" s="522"/>
    </row>
    <row r="190" spans="2:5" ht="15" thickBot="1">
      <c r="B190" s="517" t="s">
        <v>128</v>
      </c>
      <c r="C190" s="523"/>
      <c r="D190" s="525"/>
      <c r="E190" s="524"/>
    </row>
    <row r="217" spans="2:18" ht="15" thickBot="1"/>
    <row r="218" spans="2:18" ht="15.6">
      <c r="B218" s="577" t="s">
        <v>162</v>
      </c>
      <c r="C218" s="579" t="s">
        <v>140</v>
      </c>
      <c r="D218" s="579"/>
      <c r="E218" s="579"/>
      <c r="F218" s="579"/>
      <c r="G218" s="579"/>
      <c r="H218" s="579"/>
      <c r="I218" s="579"/>
      <c r="J218" s="579"/>
      <c r="K218" s="579"/>
      <c r="L218" s="579"/>
      <c r="M218" s="579"/>
      <c r="N218" s="579"/>
      <c r="O218" s="580" t="s">
        <v>142</v>
      </c>
      <c r="P218" s="477"/>
      <c r="Q218" s="477"/>
      <c r="R218" s="477"/>
    </row>
    <row r="219" spans="2:18" ht="15.6">
      <c r="B219" s="578"/>
      <c r="C219" s="474" t="s">
        <v>143</v>
      </c>
      <c r="D219" s="474" t="s">
        <v>144</v>
      </c>
      <c r="E219" s="474" t="s">
        <v>145</v>
      </c>
      <c r="F219" s="474" t="s">
        <v>146</v>
      </c>
      <c r="G219" s="474" t="s">
        <v>147</v>
      </c>
      <c r="H219" s="474" t="s">
        <v>148</v>
      </c>
      <c r="I219" s="474" t="s">
        <v>149</v>
      </c>
      <c r="J219" s="474" t="s">
        <v>150</v>
      </c>
      <c r="K219" s="474" t="s">
        <v>151</v>
      </c>
      <c r="L219" s="474" t="s">
        <v>152</v>
      </c>
      <c r="M219" s="474" t="s">
        <v>153</v>
      </c>
      <c r="N219" s="474" t="s">
        <v>154</v>
      </c>
      <c r="O219" s="581"/>
      <c r="P219" s="474"/>
      <c r="Q219" s="474"/>
      <c r="R219" s="474"/>
    </row>
    <row r="220" spans="2:18" ht="31.2">
      <c r="B220" s="470" t="s">
        <v>308</v>
      </c>
      <c r="C220" s="472">
        <f t="shared" ref="C220:N220" si="13">C43+((C48-C43)*($U$53-$U$41)/($U$46-$U$41))</f>
        <v>3.3304821150855366</v>
      </c>
      <c r="D220" s="472">
        <f t="shared" si="13"/>
        <v>4.8920684292379475</v>
      </c>
      <c r="E220" s="472">
        <f t="shared" si="13"/>
        <v>8.6692068429237956</v>
      </c>
      <c r="F220" s="472">
        <f t="shared" si="13"/>
        <v>12.938569206842924</v>
      </c>
      <c r="G220" s="472">
        <f t="shared" si="13"/>
        <v>18.288646967340593</v>
      </c>
      <c r="H220" s="472">
        <f t="shared" si="13"/>
        <v>21.792534992223949</v>
      </c>
      <c r="I220" s="472">
        <f t="shared" si="13"/>
        <v>24.83094867807154</v>
      </c>
      <c r="J220" s="472">
        <f t="shared" si="13"/>
        <v>23.084758942457231</v>
      </c>
      <c r="K220" s="472">
        <f t="shared" si="13"/>
        <v>19.250077760497668</v>
      </c>
      <c r="L220" s="472">
        <f t="shared" si="13"/>
        <v>12.869206842923795</v>
      </c>
      <c r="M220" s="472">
        <f t="shared" si="13"/>
        <v>7.7922239502332813</v>
      </c>
      <c r="N220" s="472">
        <f t="shared" si="13"/>
        <v>4.880559875583204</v>
      </c>
      <c r="O220" s="475">
        <f>S43+((S48-S43)*($U$53-$U$41)/($U$46-$U$41))</f>
        <v>13.557698289269052</v>
      </c>
      <c r="P220" s="472"/>
      <c r="Q220" s="472"/>
      <c r="R220" s="472"/>
    </row>
    <row r="221" spans="2:18" ht="31.2">
      <c r="B221" s="470" t="s">
        <v>309</v>
      </c>
      <c r="C221" s="472">
        <f t="shared" ref="C221:N221" si="14">C44+((C49-C44)*($U$53-$U$41)/($U$46-$U$41))</f>
        <v>-6.3536547433903579</v>
      </c>
      <c r="D221" s="472">
        <f t="shared" si="14"/>
        <v>-5.3228615863141524</v>
      </c>
      <c r="E221" s="472">
        <f t="shared" si="14"/>
        <v>-1.1959564541213064</v>
      </c>
      <c r="F221" s="472">
        <f t="shared" si="14"/>
        <v>2.7118195956454123</v>
      </c>
      <c r="G221" s="472">
        <f t="shared" si="14"/>
        <v>6.5387247278382583</v>
      </c>
      <c r="H221" s="472">
        <f t="shared" si="14"/>
        <v>10.315707620528771</v>
      </c>
      <c r="I221" s="472">
        <f t="shared" si="14"/>
        <v>12.346500777604977</v>
      </c>
      <c r="J221" s="472">
        <f t="shared" si="14"/>
        <v>11.646500777604977</v>
      </c>
      <c r="K221" s="472">
        <f t="shared" si="14"/>
        <v>8.9695178849144632</v>
      </c>
      <c r="L221" s="472">
        <f t="shared" si="14"/>
        <v>3.881026438569207</v>
      </c>
      <c r="M221" s="472">
        <f t="shared" si="14"/>
        <v>-0.89206842923794705</v>
      </c>
      <c r="N221" s="472">
        <f t="shared" si="14"/>
        <v>-3.880559875583204</v>
      </c>
      <c r="O221" s="475">
        <f>S44+((S49-S44)*($U$53-$U$41)/($U$46-$U$41))</f>
        <v>3.2387247278382576</v>
      </c>
      <c r="P221" s="472"/>
      <c r="Q221" s="472"/>
      <c r="R221" s="472"/>
    </row>
    <row r="222" spans="2:18" ht="16.2" thickBot="1">
      <c r="B222" s="471" t="s">
        <v>163</v>
      </c>
      <c r="C222" s="473">
        <f>(C220+C221)/2</f>
        <v>-1.5115863141524106</v>
      </c>
      <c r="D222" s="473">
        <f t="shared" ref="D222:N222" si="15">(D220+D221)/2</f>
        <v>-0.21539657853810246</v>
      </c>
      <c r="E222" s="473">
        <f t="shared" si="15"/>
        <v>3.7366251944012445</v>
      </c>
      <c r="F222" s="473">
        <f t="shared" si="15"/>
        <v>7.8251944012441683</v>
      </c>
      <c r="G222" s="473">
        <f t="shared" si="15"/>
        <v>12.413685847589425</v>
      </c>
      <c r="H222" s="473">
        <f t="shared" si="15"/>
        <v>16.054121306376359</v>
      </c>
      <c r="I222" s="473">
        <f t="shared" si="15"/>
        <v>18.588724727838258</v>
      </c>
      <c r="J222" s="473">
        <f t="shared" si="15"/>
        <v>17.365629860031106</v>
      </c>
      <c r="K222" s="473">
        <f t="shared" si="15"/>
        <v>14.109797822706065</v>
      </c>
      <c r="L222" s="473">
        <f t="shared" si="15"/>
        <v>8.3751166407465014</v>
      </c>
      <c r="M222" s="473">
        <f t="shared" si="15"/>
        <v>3.4500777604976669</v>
      </c>
      <c r="N222" s="473">
        <f t="shared" si="15"/>
        <v>0.5</v>
      </c>
      <c r="O222" s="476">
        <f>(O220+O221)/2</f>
        <v>8.3982115085536542</v>
      </c>
      <c r="P222" s="473"/>
      <c r="Q222" s="473"/>
      <c r="R222" s="473"/>
    </row>
    <row r="227" spans="2:5" ht="15" thickBot="1"/>
    <row r="228" spans="2:5" ht="15" thickBot="1">
      <c r="B228" s="490" t="s">
        <v>314</v>
      </c>
      <c r="C228" s="491" t="s">
        <v>313</v>
      </c>
      <c r="D228" s="491" t="s">
        <v>330</v>
      </c>
      <c r="E228" s="492" t="s">
        <v>331</v>
      </c>
    </row>
    <row r="229" spans="2:5">
      <c r="B229" s="169">
        <v>0</v>
      </c>
      <c r="C229" s="526">
        <v>1</v>
      </c>
      <c r="D229" s="237"/>
      <c r="E229" s="528">
        <v>2.486799503536528</v>
      </c>
    </row>
    <row r="230" spans="2:5">
      <c r="B230" s="243">
        <v>365</v>
      </c>
      <c r="C230" s="287">
        <v>0.97738825528483386</v>
      </c>
      <c r="D230" s="486">
        <v>897.41968400628502</v>
      </c>
      <c r="E230" s="520">
        <v>2.430568628004758</v>
      </c>
    </row>
    <row r="231" spans="2:5">
      <c r="B231" s="243">
        <v>1095</v>
      </c>
      <c r="C231" s="287">
        <v>0.91737947122861585</v>
      </c>
      <c r="D231" s="486">
        <v>1719.8462161878997</v>
      </c>
      <c r="E231" s="520">
        <v>2.2813388136059243</v>
      </c>
    </row>
    <row r="232" spans="2:5">
      <c r="B232" s="243">
        <v>1825</v>
      </c>
      <c r="C232" s="287">
        <v>0.8842592592592593</v>
      </c>
      <c r="D232" s="486">
        <v>1635.3147196932421</v>
      </c>
      <c r="E232" s="520">
        <v>2.1989754869235041</v>
      </c>
    </row>
    <row r="233" spans="2:5">
      <c r="B233" s="243">
        <v>2555</v>
      </c>
      <c r="C233" s="287">
        <v>0.74768158516214511</v>
      </c>
      <c r="D233" s="486">
        <v>1481.2830338234685</v>
      </c>
      <c r="E233" s="520">
        <v>1.8593341947846267</v>
      </c>
    </row>
    <row r="234" spans="2:5">
      <c r="B234" s="243">
        <v>3285</v>
      </c>
      <c r="C234" s="287">
        <v>0.73441550025920166</v>
      </c>
      <c r="D234" s="486">
        <v>1345.2725781198408</v>
      </c>
      <c r="E234" s="520">
        <v>1.8263441014341135</v>
      </c>
    </row>
    <row r="235" spans="2:5">
      <c r="B235" s="243">
        <v>4015</v>
      </c>
      <c r="C235" s="287">
        <v>0.54512988883128854</v>
      </c>
      <c r="D235" s="486">
        <v>1161.4200859950802</v>
      </c>
      <c r="E235" s="520">
        <v>1.3556287369085711</v>
      </c>
    </row>
    <row r="236" spans="2:5">
      <c r="B236" s="243">
        <v>4745</v>
      </c>
      <c r="C236" s="287">
        <v>0.51967052589136575</v>
      </c>
      <c r="D236" s="486">
        <v>966.4999770846922</v>
      </c>
      <c r="E236" s="520">
        <v>1.2923164057892147</v>
      </c>
    </row>
    <row r="237" spans="2:5">
      <c r="B237" s="243">
        <v>5475</v>
      </c>
      <c r="C237" s="287">
        <v>0.33269972927826735</v>
      </c>
      <c r="D237" s="486">
        <v>773.68098349557897</v>
      </c>
      <c r="E237" s="520">
        <v>0.82735752159593257</v>
      </c>
    </row>
    <row r="238" spans="2:5">
      <c r="B238" s="243">
        <v>6205</v>
      </c>
      <c r="C238" s="287">
        <v>0.25417602672657108</v>
      </c>
      <c r="D238" s="486">
        <v>532.69645361471692</v>
      </c>
      <c r="E238" s="520">
        <v>0.63208481707452424</v>
      </c>
    </row>
    <row r="239" spans="2:5">
      <c r="B239" s="243">
        <v>6935</v>
      </c>
      <c r="C239" s="287">
        <v>0.16666666666666669</v>
      </c>
      <c r="D239" s="486">
        <v>381.99126136400696</v>
      </c>
      <c r="E239" s="520">
        <v>0.41446658392275471</v>
      </c>
    </row>
    <row r="240" spans="2:5">
      <c r="B240" s="243">
        <v>7665</v>
      </c>
      <c r="C240" s="287">
        <v>0.16666666666666669</v>
      </c>
      <c r="D240" s="486">
        <v>302.56060626361108</v>
      </c>
      <c r="E240" s="520">
        <v>0.41446658392275471</v>
      </c>
    </row>
    <row r="241" spans="2:6">
      <c r="B241" s="243">
        <v>8395</v>
      </c>
      <c r="C241" s="287">
        <v>0.16666666666666669</v>
      </c>
      <c r="D241" s="486">
        <v>302.56060626361108</v>
      </c>
      <c r="E241" s="520">
        <v>0.41446658392275471</v>
      </c>
    </row>
    <row r="242" spans="2:6" ht="15" thickBot="1">
      <c r="B242" s="177">
        <v>8760</v>
      </c>
      <c r="C242" s="527">
        <v>0.16666666666666669</v>
      </c>
      <c r="D242" s="489">
        <v>151.28030313180554</v>
      </c>
      <c r="E242" s="529">
        <v>0.41446658392275471</v>
      </c>
    </row>
    <row r="243" spans="2:6" ht="15" thickBot="1">
      <c r="B243" s="518" t="s">
        <v>128</v>
      </c>
      <c r="C243" s="258"/>
      <c r="D243" s="530">
        <v>11651.826509043836</v>
      </c>
      <c r="E243" s="259"/>
    </row>
    <row r="247" spans="2:6" ht="15" thickBot="1"/>
    <row r="248" spans="2:6">
      <c r="B248" s="468"/>
      <c r="C248" s="465" t="s">
        <v>319</v>
      </c>
      <c r="D248" s="465" t="s">
        <v>322</v>
      </c>
      <c r="E248" s="465" t="s">
        <v>321</v>
      </c>
      <c r="F248" s="469" t="s">
        <v>320</v>
      </c>
    </row>
    <row r="249" spans="2:6" ht="15" thickBot="1">
      <c r="B249" s="498" t="s">
        <v>332</v>
      </c>
      <c r="C249" s="240">
        <v>40</v>
      </c>
      <c r="D249" s="240">
        <v>145</v>
      </c>
      <c r="E249" s="240">
        <v>185</v>
      </c>
      <c r="F249" s="241">
        <v>125</v>
      </c>
    </row>
  </sheetData>
  <sortState xmlns:xlrd2="http://schemas.microsoft.com/office/spreadsheetml/2017/richdata2" ref="C158:C172">
    <sortCondition ref="C158:C172"/>
  </sortState>
  <mergeCells count="11">
    <mergeCell ref="B218:B219"/>
    <mergeCell ref="C218:N218"/>
    <mergeCell ref="O218:O219"/>
    <mergeCell ref="B41:B42"/>
    <mergeCell ref="C41:N41"/>
    <mergeCell ref="O41:R41"/>
    <mergeCell ref="S41:S42"/>
    <mergeCell ref="B46:B47"/>
    <mergeCell ref="C46:N46"/>
    <mergeCell ref="O46:R46"/>
    <mergeCell ref="S46:S47"/>
  </mergeCells>
  <phoneticPr fontId="42" type="noConversion"/>
  <hyperlinks>
    <hyperlink ref="C41" r:id="rId1" tooltip="Mese" display="https://it.wikipedia.org/wiki/Mese" xr:uid="{F6AC309E-7FB7-4336-B39D-E6A4353A3D8E}"/>
    <hyperlink ref="O41" r:id="rId2" tooltip="Stagione" display="https://it.wikipedia.org/wiki/Stagione" xr:uid="{18FE22FA-40DE-4206-902D-B0546CA3BCFF}"/>
    <hyperlink ref="S41" r:id="rId3" tooltip="Anno" display="https://it.wikipedia.org/wiki/Anno" xr:uid="{3D1A2B2F-3587-4191-984D-6AE9734FB467}"/>
    <hyperlink ref="C42" r:id="rId4" tooltip="Gennaio" display="https://it.wikipedia.org/wiki/Gennaio" xr:uid="{65D86371-5464-4A00-8D7F-0F3DCEA518AA}"/>
    <hyperlink ref="D42" r:id="rId5" tooltip="Febbraio" display="https://it.wikipedia.org/wiki/Febbraio" xr:uid="{A142CFD4-3251-44DA-B1ED-7F1CC82A6CD0}"/>
    <hyperlink ref="E42" r:id="rId6" tooltip="Marzo" display="https://it.wikipedia.org/wiki/Marzo" xr:uid="{6E8DA2AB-CE91-458E-9B42-ED3B9EF079C6}"/>
    <hyperlink ref="F42" r:id="rId7" tooltip="Aprile" display="https://it.wikipedia.org/wiki/Aprile" xr:uid="{8BCE4303-9F11-4C71-9434-AEFC38F6BCC9}"/>
    <hyperlink ref="G42" r:id="rId8" tooltip="Maggio" display="https://it.wikipedia.org/wiki/Maggio" xr:uid="{285D8793-25BC-4B07-A45E-95B65F44DC39}"/>
    <hyperlink ref="H42" r:id="rId9" tooltip="Giugno" display="https://it.wikipedia.org/wiki/Giugno" xr:uid="{4DBE3ADC-87D1-42FC-A1CA-44009337AB08}"/>
    <hyperlink ref="I42" r:id="rId10" tooltip="Luglio" display="https://it.wikipedia.org/wiki/Luglio" xr:uid="{FE0EEEA5-FF4E-4F8A-B3F0-3B98341211FC}"/>
    <hyperlink ref="J42" r:id="rId11" tooltip="Agosto" display="https://it.wikipedia.org/wiki/Agosto" xr:uid="{CEEFB224-8638-4C38-BD93-FDE6803AAC10}"/>
    <hyperlink ref="K42" r:id="rId12" tooltip="Settembre" display="https://it.wikipedia.org/wiki/Settembre" xr:uid="{5890E286-65CB-4443-8255-A2C020131449}"/>
    <hyperlink ref="L42" r:id="rId13" tooltip="Ottobre" display="https://it.wikipedia.org/wiki/Ottobre" xr:uid="{09402AF4-85A8-4C9B-80E9-476AE7E15E00}"/>
    <hyperlink ref="M42" r:id="rId14" tooltip="Novembre" display="https://it.wikipedia.org/wiki/Novembre" xr:uid="{9135A78B-E396-4D2D-A96B-3F28165B6C2C}"/>
    <hyperlink ref="N42" r:id="rId15" tooltip="Dicembre" display="https://it.wikipedia.org/wiki/Dicembre" xr:uid="{C0BBEEE4-C6CE-466C-94DE-10C99E86E328}"/>
    <hyperlink ref="O42" r:id="rId16" tooltip="Inverno" display="https://it.wikipedia.org/wiki/Inverno" xr:uid="{AF2D79BD-68B3-4E63-959C-CBE6E4755EF5}"/>
    <hyperlink ref="P42" r:id="rId17" tooltip="Primavera" display="https://it.wikipedia.org/wiki/Primavera" xr:uid="{99DAA83A-752A-4BB4-81A0-EAF218E892BE}"/>
    <hyperlink ref="Q42" r:id="rId18" tooltip="Estate" display="https://it.wikipedia.org/wiki/Estate" xr:uid="{91B44A76-4C54-44C3-9953-12978B0C7C1D}"/>
    <hyperlink ref="R42" r:id="rId19" tooltip="Autunno" display="https://it.wikipedia.org/wiki/Autunno" xr:uid="{D715AB23-8438-46E6-85F6-A5B09B1E52A1}"/>
    <hyperlink ref="C46" r:id="rId20" tooltip="Mese" display="https://it.wikipedia.org/wiki/Mese" xr:uid="{900F453D-CF02-47C6-A971-96766B411C39}"/>
    <hyperlink ref="O46" r:id="rId21" tooltip="Stagione" display="https://it.wikipedia.org/wiki/Stagione" xr:uid="{55794CE9-C741-45BA-8B9D-7794F250A18C}"/>
    <hyperlink ref="S46" r:id="rId22" tooltip="Anno" display="https://it.wikipedia.org/wiki/Anno" xr:uid="{9E10DC21-EFE3-4275-BBDE-788D31613AF4}"/>
    <hyperlink ref="C47" r:id="rId23" tooltip="Gennaio" display="https://it.wikipedia.org/wiki/Gennaio" xr:uid="{10AF464D-1737-42A8-8C61-8132C922F630}"/>
    <hyperlink ref="D47" r:id="rId24" tooltip="Febbraio" display="https://it.wikipedia.org/wiki/Febbraio" xr:uid="{91D633FA-F1F7-409A-91D9-B53B4249C481}"/>
    <hyperlink ref="E47" r:id="rId25" tooltip="Marzo" display="https://it.wikipedia.org/wiki/Marzo" xr:uid="{360E5C1A-855F-4829-92DF-0B424F1C32FA}"/>
    <hyperlink ref="F47" r:id="rId26" tooltip="Aprile" display="https://it.wikipedia.org/wiki/Aprile" xr:uid="{6DABA224-EA5A-4AEB-900D-177B5418162E}"/>
    <hyperlink ref="G47" r:id="rId27" tooltip="Maggio" display="https://it.wikipedia.org/wiki/Maggio" xr:uid="{7C38C718-67F2-42C5-9018-F17948B07F13}"/>
    <hyperlink ref="H47" r:id="rId28" tooltip="Giugno" display="https://it.wikipedia.org/wiki/Giugno" xr:uid="{4B9B81BC-11C7-4DC3-B558-43CF71A34B65}"/>
    <hyperlink ref="I47" r:id="rId29" tooltip="Luglio" display="https://it.wikipedia.org/wiki/Luglio" xr:uid="{568129C6-5EB3-423D-9E3C-C42F3A52AD84}"/>
    <hyperlink ref="J47" r:id="rId30" tooltip="Agosto" display="https://it.wikipedia.org/wiki/Agosto" xr:uid="{42D0A749-A5B7-49D6-A1D0-2DD67748D323}"/>
    <hyperlink ref="K47" r:id="rId31" tooltip="Settembre" display="https://it.wikipedia.org/wiki/Settembre" xr:uid="{0310F8EE-BB7F-4FBC-9EA4-2EEB3ECC82D0}"/>
    <hyperlink ref="L47" r:id="rId32" tooltip="Ottobre" display="https://it.wikipedia.org/wiki/Ottobre" xr:uid="{7B0BC7EC-6405-4CC9-8B92-C478DB2CD827}"/>
    <hyperlink ref="M47" r:id="rId33" tooltip="Novembre" display="https://it.wikipedia.org/wiki/Novembre" xr:uid="{845CE944-F3EC-4300-8682-F5C798AD4BC1}"/>
    <hyperlink ref="N47" r:id="rId34" tooltip="Dicembre" display="https://it.wikipedia.org/wiki/Dicembre" xr:uid="{A4A34469-7F85-4087-9307-9A5553E38C47}"/>
    <hyperlink ref="O47" r:id="rId35" tooltip="Inverno" display="https://it.wikipedia.org/wiki/Inverno" xr:uid="{247A38E9-2DD6-4AD9-A971-818DE9880BF3}"/>
    <hyperlink ref="P47" r:id="rId36" tooltip="Primavera" display="https://it.wikipedia.org/wiki/Primavera" xr:uid="{A90D84D8-AE02-45C7-B723-9CF2AD459FD8}"/>
    <hyperlink ref="Q47" r:id="rId37" tooltip="Estate" display="https://it.wikipedia.org/wiki/Estate" xr:uid="{4C2A9268-2E09-4A76-993F-B5CD9D7898B4}"/>
    <hyperlink ref="R47" r:id="rId38" tooltip="Autunno" display="https://it.wikipedia.org/wiki/Autunno" xr:uid="{762CFC31-C088-410E-87C3-EFBAFF603F07}"/>
    <hyperlink ref="C218" r:id="rId39" tooltip="Mese" display="https://it.wikipedia.org/wiki/Mese" xr:uid="{4F3D8276-DB45-4765-B8C7-BF7351ACF3B3}"/>
    <hyperlink ref="O218" r:id="rId40" tooltip="Anno" display="https://it.wikipedia.org/wiki/Anno" xr:uid="{F92B90C2-E018-4B66-86BD-FBDE96828306}"/>
    <hyperlink ref="C219" r:id="rId41" tooltip="Gennaio" display="https://it.wikipedia.org/wiki/Gennaio" xr:uid="{769E57A2-F184-486C-B2D2-A78D7B767624}"/>
    <hyperlink ref="D219" r:id="rId42" tooltip="Febbraio" display="https://it.wikipedia.org/wiki/Febbraio" xr:uid="{18694CE7-5A29-444E-9475-EEFA337DAA28}"/>
    <hyperlink ref="E219" r:id="rId43" tooltip="Marzo" display="https://it.wikipedia.org/wiki/Marzo" xr:uid="{ACBDC5D0-AFE1-44A9-B49E-34FCDB246CE0}"/>
    <hyperlink ref="F219" r:id="rId44" tooltip="Aprile" display="https://it.wikipedia.org/wiki/Aprile" xr:uid="{CC1A3291-639A-4D9D-AD49-24EB0F9C47B6}"/>
    <hyperlink ref="G219" r:id="rId45" tooltip="Maggio" display="https://it.wikipedia.org/wiki/Maggio" xr:uid="{2C21F97C-B172-4B7F-BD15-8F3B28BB6214}"/>
    <hyperlink ref="H219" r:id="rId46" tooltip="Giugno" display="https://it.wikipedia.org/wiki/Giugno" xr:uid="{71C519D1-38DE-45C5-A430-209EA999CA65}"/>
    <hyperlink ref="I219" r:id="rId47" tooltip="Luglio" display="https://it.wikipedia.org/wiki/Luglio" xr:uid="{8367B2D4-5D8B-41CE-AD4F-A38CC2A8E516}"/>
    <hyperlink ref="J219" r:id="rId48" tooltip="Agosto" display="https://it.wikipedia.org/wiki/Agosto" xr:uid="{4BD17CE7-428A-46A5-BE30-1FEF732A8994}"/>
    <hyperlink ref="K219" r:id="rId49" tooltip="Settembre" display="https://it.wikipedia.org/wiki/Settembre" xr:uid="{4F228CC3-6B8C-44EA-A6C7-EB98965A3CB3}"/>
    <hyperlink ref="L219" r:id="rId50" tooltip="Ottobre" display="https://it.wikipedia.org/wiki/Ottobre" xr:uid="{96F6EAEA-9F03-47F5-931B-AF6E5E647FC8}"/>
    <hyperlink ref="M219" r:id="rId51" tooltip="Novembre" display="https://it.wikipedia.org/wiki/Novembre" xr:uid="{FE33BBC3-6ED7-448D-89DF-4ACBAE0D2213}"/>
    <hyperlink ref="N219" r:id="rId52" tooltip="Dicembre" display="https://it.wikipedia.org/wiki/Dicembre" xr:uid="{5906C6E8-7F4E-40EA-A671-766FE2C6F588}"/>
  </hyperlinks>
  <pageMargins left="0.7" right="0.7" top="0.75" bottom="0.75" header="0.3" footer="0.3"/>
  <pageSetup paperSize="9" orientation="portrait" horizontalDpi="1200" verticalDpi="1200" r:id="rId53"/>
  <drawing r:id="rId5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797D3-A900-4F41-832F-B251A5F44889}">
  <dimension ref="A1:AF115"/>
  <sheetViews>
    <sheetView topLeftCell="A15" zoomScale="60" zoomScaleNormal="60" workbookViewId="0">
      <selection activeCell="F85" sqref="F85"/>
    </sheetView>
  </sheetViews>
  <sheetFormatPr defaultRowHeight="14.4"/>
  <cols>
    <col min="1" max="1" width="39.77734375" customWidth="1"/>
    <col min="2" max="34" width="20.77734375" customWidth="1"/>
  </cols>
  <sheetData>
    <row r="1" spans="1:32">
      <c r="A1" s="335"/>
      <c r="B1" s="331"/>
      <c r="C1" s="331"/>
      <c r="D1" s="331"/>
      <c r="E1" s="331"/>
      <c r="F1" s="333"/>
      <c r="G1" s="334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</row>
    <row r="2" spans="1:32" ht="15.6">
      <c r="A2" s="336" t="s">
        <v>287</v>
      </c>
      <c r="B2" s="337">
        <f>Calcolo!L63*2</f>
        <v>600</v>
      </c>
      <c r="C2" s="338" t="s">
        <v>288</v>
      </c>
      <c r="D2" s="339"/>
      <c r="E2" s="339"/>
      <c r="F2" s="340"/>
      <c r="G2" s="339"/>
      <c r="H2" s="339"/>
      <c r="I2" s="339"/>
      <c r="J2" s="339"/>
      <c r="K2" s="332"/>
      <c r="L2" s="332"/>
      <c r="M2" s="332"/>
      <c r="N2" s="332"/>
      <c r="O2" s="332"/>
      <c r="P2" s="332"/>
      <c r="Q2" s="332"/>
      <c r="R2" s="332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</row>
    <row r="3" spans="1:32" ht="15.6">
      <c r="A3" s="336" t="s">
        <v>286</v>
      </c>
      <c r="B3" s="342">
        <f>Calcolo!L73*2</f>
        <v>1200</v>
      </c>
      <c r="C3" s="338" t="s">
        <v>288</v>
      </c>
      <c r="D3" s="331"/>
      <c r="E3" s="331"/>
      <c r="F3" s="331"/>
      <c r="G3" s="338" t="s">
        <v>235</v>
      </c>
      <c r="H3" s="342">
        <f>PMT(B13,B15/12,B8*(1-B9))</f>
        <v>-201108.47556831851</v>
      </c>
      <c r="I3" s="343" t="s">
        <v>236</v>
      </c>
      <c r="J3" s="331"/>
      <c r="K3" s="332"/>
      <c r="L3" s="332"/>
      <c r="M3" s="332"/>
      <c r="N3" s="332"/>
      <c r="O3" s="332"/>
      <c r="P3" s="332"/>
      <c r="Q3" s="332"/>
      <c r="R3" s="332"/>
      <c r="S3" s="331"/>
      <c r="T3" s="331"/>
      <c r="U3" s="331"/>
      <c r="V3" s="331"/>
      <c r="W3" s="331"/>
      <c r="X3" s="331"/>
      <c r="Y3" s="331"/>
      <c r="Z3" s="331"/>
      <c r="AA3" s="331"/>
      <c r="AB3" s="331"/>
      <c r="AC3" s="331"/>
      <c r="AD3" s="331"/>
      <c r="AE3" s="331"/>
      <c r="AF3" s="331"/>
    </row>
    <row r="4" spans="1:32">
      <c r="A4" s="341"/>
      <c r="B4" s="344"/>
      <c r="C4" s="338"/>
      <c r="D4" s="331"/>
      <c r="E4" s="331"/>
      <c r="F4" s="331"/>
      <c r="G4" s="338" t="s">
        <v>237</v>
      </c>
      <c r="H4" s="345">
        <v>0</v>
      </c>
      <c r="I4" s="343"/>
      <c r="J4" s="331"/>
      <c r="K4" s="332"/>
      <c r="L4" s="332"/>
      <c r="M4" s="332"/>
      <c r="N4" s="332"/>
      <c r="O4" s="332"/>
      <c r="P4" s="332"/>
      <c r="Q4" s="332"/>
      <c r="R4" s="332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</row>
    <row r="5" spans="1:32">
      <c r="A5" s="338" t="s">
        <v>238</v>
      </c>
      <c r="B5" s="346">
        <v>0</v>
      </c>
      <c r="C5" s="338"/>
      <c r="D5" s="331"/>
      <c r="E5" s="331"/>
      <c r="F5" s="331"/>
      <c r="G5" s="338" t="s">
        <v>239</v>
      </c>
      <c r="H5" s="345">
        <v>0</v>
      </c>
      <c r="I5" s="343" t="s">
        <v>240</v>
      </c>
      <c r="J5" s="331"/>
      <c r="K5" s="332"/>
      <c r="L5" s="332"/>
      <c r="M5" s="332"/>
      <c r="N5" s="332"/>
      <c r="O5" s="332"/>
      <c r="P5" s="332"/>
      <c r="Q5" s="332"/>
      <c r="R5" s="332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</row>
    <row r="6" spans="1:32">
      <c r="A6" s="338" t="s">
        <v>241</v>
      </c>
      <c r="B6" s="347">
        <v>5.0000000000000001E-3</v>
      </c>
      <c r="C6" s="338"/>
      <c r="D6" s="331"/>
      <c r="E6" s="331"/>
      <c r="F6" s="331"/>
      <c r="G6" s="338"/>
      <c r="H6" s="348"/>
      <c r="I6" s="343"/>
      <c r="J6" s="331"/>
      <c r="K6" s="332"/>
      <c r="L6" s="332"/>
      <c r="M6" s="332"/>
      <c r="N6" s="332"/>
      <c r="O6" s="332"/>
      <c r="P6" s="332"/>
      <c r="Q6" s="332"/>
      <c r="R6" s="332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</row>
    <row r="7" spans="1:32">
      <c r="A7" s="338" t="s">
        <v>242</v>
      </c>
      <c r="B7" s="342">
        <f>Calcolo!D229</f>
        <v>4980000</v>
      </c>
      <c r="C7" s="338"/>
      <c r="D7" s="331"/>
      <c r="E7" s="331"/>
      <c r="F7" s="331"/>
      <c r="G7" s="338" t="s">
        <v>243</v>
      </c>
      <c r="H7" s="348">
        <v>9.6000000000000002E-2</v>
      </c>
      <c r="I7" s="343" t="s">
        <v>240</v>
      </c>
      <c r="J7" s="331"/>
      <c r="K7" s="332"/>
      <c r="L7" s="332"/>
      <c r="M7" s="332"/>
      <c r="N7" s="332"/>
      <c r="O7" s="332"/>
      <c r="P7" s="332"/>
      <c r="Q7" s="332"/>
      <c r="R7" s="332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  <c r="AE7" s="331"/>
      <c r="AF7" s="331"/>
    </row>
    <row r="8" spans="1:32">
      <c r="A8" s="338" t="s">
        <v>244</v>
      </c>
      <c r="B8" s="342">
        <f>B7</f>
        <v>4980000</v>
      </c>
      <c r="C8" s="338" t="s">
        <v>236</v>
      </c>
      <c r="D8" s="331"/>
      <c r="E8" s="331"/>
      <c r="F8" s="331"/>
      <c r="G8" s="338" t="s">
        <v>245</v>
      </c>
      <c r="H8" s="347">
        <v>0.24</v>
      </c>
      <c r="I8" s="343"/>
      <c r="J8" s="331"/>
      <c r="K8" s="332"/>
      <c r="L8" s="332"/>
      <c r="M8" s="332"/>
      <c r="N8" s="332"/>
      <c r="O8" s="332"/>
      <c r="P8" s="332"/>
      <c r="Q8" s="332"/>
      <c r="R8" s="332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1"/>
      <c r="AE8" s="331"/>
      <c r="AF8" s="331"/>
    </row>
    <row r="9" spans="1:32">
      <c r="A9" s="338"/>
      <c r="B9" s="399">
        <v>0.5</v>
      </c>
      <c r="C9" s="338"/>
      <c r="D9" s="331"/>
      <c r="E9" s="331"/>
      <c r="F9" s="331"/>
      <c r="G9" s="338" t="s">
        <v>246</v>
      </c>
      <c r="H9" s="347">
        <v>3.9E-2</v>
      </c>
      <c r="I9" s="343"/>
      <c r="J9" s="331"/>
      <c r="K9" s="332"/>
      <c r="L9" s="332"/>
      <c r="M9" s="332"/>
      <c r="N9" s="332"/>
      <c r="O9" s="332"/>
      <c r="P9" s="332"/>
      <c r="Q9" s="332"/>
      <c r="R9" s="332"/>
      <c r="S9" s="331"/>
      <c r="T9" s="331"/>
      <c r="U9" s="331"/>
      <c r="V9" s="331"/>
      <c r="W9" s="331"/>
      <c r="X9" s="331"/>
      <c r="Y9" s="331"/>
      <c r="Z9" s="331"/>
      <c r="AA9" s="331"/>
      <c r="AB9" s="331"/>
      <c r="AC9" s="331"/>
      <c r="AD9" s="331"/>
      <c r="AE9" s="331"/>
      <c r="AF9" s="331"/>
    </row>
    <row r="10" spans="1:32">
      <c r="A10" s="338" t="s">
        <v>247</v>
      </c>
      <c r="B10" s="342">
        <f>+B8*B9</f>
        <v>2490000</v>
      </c>
      <c r="C10" s="338"/>
      <c r="D10" s="434">
        <v>25</v>
      </c>
      <c r="E10" s="331" t="s">
        <v>256</v>
      </c>
      <c r="F10" s="331"/>
      <c r="G10" s="338" t="s">
        <v>248</v>
      </c>
      <c r="H10" s="347">
        <v>1.06E-2</v>
      </c>
      <c r="I10" s="343"/>
      <c r="J10" s="331"/>
      <c r="K10" s="332"/>
      <c r="L10" s="332"/>
      <c r="M10" s="332"/>
      <c r="N10" s="332"/>
      <c r="O10" s="332"/>
      <c r="P10" s="332"/>
      <c r="Q10" s="332"/>
      <c r="R10" s="332"/>
      <c r="S10" s="331"/>
      <c r="T10" s="331"/>
      <c r="U10" s="331"/>
      <c r="V10" s="331"/>
      <c r="W10" s="331"/>
      <c r="X10" s="331"/>
      <c r="Y10" s="331"/>
      <c r="Z10" s="331"/>
      <c r="AA10" s="331"/>
      <c r="AB10" s="331"/>
      <c r="AC10" s="331"/>
      <c r="AD10" s="331"/>
      <c r="AE10" s="331"/>
      <c r="AF10" s="331"/>
    </row>
    <row r="11" spans="1:32">
      <c r="A11" s="428" t="s">
        <v>249</v>
      </c>
      <c r="B11" s="429">
        <v>5.0000000000000001E-3</v>
      </c>
      <c r="C11" s="430" t="s">
        <v>250</v>
      </c>
      <c r="D11" s="274"/>
      <c r="F11" s="331"/>
      <c r="G11" s="349"/>
      <c r="H11" s="331"/>
      <c r="I11" s="331"/>
      <c r="J11" s="331"/>
      <c r="K11" s="332"/>
      <c r="L11" s="332"/>
      <c r="M11" s="332"/>
      <c r="N11" s="332"/>
      <c r="O11" s="332"/>
      <c r="P11" s="332"/>
      <c r="Q11" s="332"/>
      <c r="R11" s="332"/>
      <c r="S11" s="331"/>
      <c r="T11" s="331"/>
      <c r="U11" s="331"/>
      <c r="V11" s="331"/>
      <c r="W11" s="331"/>
      <c r="X11" s="331"/>
      <c r="Y11" s="331"/>
      <c r="Z11" s="331"/>
      <c r="AA11" s="331"/>
      <c r="AB11" s="331"/>
      <c r="AC11" s="331"/>
      <c r="AD11" s="331"/>
      <c r="AE11" s="331"/>
      <c r="AF11" s="331"/>
    </row>
    <row r="12" spans="1:32">
      <c r="A12" s="428" t="s">
        <v>251</v>
      </c>
      <c r="B12" s="429">
        <v>0.02</v>
      </c>
      <c r="C12" s="428"/>
      <c r="D12" s="431"/>
      <c r="E12" s="331"/>
      <c r="F12" s="350"/>
      <c r="G12" s="349"/>
      <c r="H12" s="331"/>
      <c r="I12" s="331"/>
      <c r="J12" s="331"/>
      <c r="K12" s="332"/>
      <c r="L12" s="332"/>
      <c r="M12" s="332"/>
      <c r="N12" s="332"/>
      <c r="O12" s="332"/>
      <c r="P12" s="332"/>
      <c r="Q12" s="332"/>
      <c r="R12" s="332"/>
      <c r="S12" s="331"/>
      <c r="T12" s="331"/>
      <c r="U12" s="331"/>
      <c r="V12" s="331"/>
      <c r="W12" s="331"/>
      <c r="X12" s="331"/>
      <c r="Y12" s="331"/>
      <c r="Z12" s="331"/>
      <c r="AA12" s="331"/>
      <c r="AB12" s="331"/>
      <c r="AC12" s="331"/>
      <c r="AD12" s="331"/>
      <c r="AE12" s="331"/>
      <c r="AF12" s="331"/>
    </row>
    <row r="13" spans="1:32">
      <c r="A13" s="428" t="s">
        <v>252</v>
      </c>
      <c r="B13" s="429">
        <f>B11+B12</f>
        <v>2.5000000000000001E-2</v>
      </c>
      <c r="C13" s="428"/>
      <c r="D13" s="431"/>
      <c r="E13" s="331"/>
      <c r="F13" s="331"/>
      <c r="G13" s="331"/>
      <c r="H13" s="351"/>
      <c r="I13" s="331"/>
      <c r="J13" s="331"/>
      <c r="K13" s="332"/>
      <c r="L13" s="332"/>
      <c r="M13" s="332"/>
      <c r="N13" s="332"/>
      <c r="O13" s="332"/>
      <c r="P13" s="332"/>
      <c r="Q13" s="332"/>
      <c r="R13" s="332"/>
      <c r="S13" s="331"/>
      <c r="T13" s="331"/>
      <c r="U13" s="331"/>
      <c r="V13" s="331"/>
      <c r="W13" s="331"/>
      <c r="X13" s="331"/>
      <c r="Y13" s="331"/>
      <c r="Z13" s="331"/>
      <c r="AA13" s="331"/>
      <c r="AB13" s="331"/>
      <c r="AC13" s="331"/>
      <c r="AD13" s="331"/>
      <c r="AE13" s="331"/>
      <c r="AF13" s="331"/>
    </row>
    <row r="14" spans="1:32">
      <c r="A14" s="428" t="s">
        <v>253</v>
      </c>
      <c r="B14" s="429">
        <v>5.5E-2</v>
      </c>
      <c r="C14" s="428"/>
      <c r="D14" s="431"/>
      <c r="E14" s="331"/>
      <c r="F14" s="352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</row>
    <row r="15" spans="1:32">
      <c r="A15" s="428" t="s">
        <v>254</v>
      </c>
      <c r="B15" s="428">
        <f>12*D15</f>
        <v>180</v>
      </c>
      <c r="C15" s="428" t="s">
        <v>255</v>
      </c>
      <c r="D15" s="431">
        <v>15</v>
      </c>
      <c r="E15" s="331" t="s">
        <v>256</v>
      </c>
      <c r="F15" s="331"/>
      <c r="G15" s="331"/>
      <c r="H15" s="352"/>
      <c r="I15" s="331"/>
      <c r="J15" s="353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</row>
    <row r="16" spans="1:32">
      <c r="A16" s="428" t="s">
        <v>257</v>
      </c>
      <c r="B16" s="428">
        <f>+B15+36*0</f>
        <v>180</v>
      </c>
      <c r="C16" s="428" t="s">
        <v>255</v>
      </c>
      <c r="D16" s="432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</row>
    <row r="17" spans="1:32">
      <c r="A17" s="432"/>
      <c r="B17" s="433"/>
      <c r="C17" s="432"/>
      <c r="D17" s="432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</row>
    <row r="18" spans="1:32" ht="17.399999999999999">
      <c r="A18" s="355" t="s">
        <v>258</v>
      </c>
      <c r="B18" s="335"/>
      <c r="C18" s="331"/>
      <c r="D18" s="331"/>
      <c r="E18" s="331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  <c r="AB18" s="331"/>
      <c r="AC18" s="331"/>
      <c r="AD18" s="331"/>
      <c r="AE18" s="331"/>
      <c r="AF18" s="331"/>
    </row>
    <row r="19" spans="1:32" ht="17.399999999999999">
      <c r="A19" s="355"/>
      <c r="B19" s="335"/>
      <c r="C19" s="354"/>
      <c r="D19" s="354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1"/>
      <c r="Y19" s="331"/>
      <c r="Z19" s="331"/>
      <c r="AA19" s="331"/>
      <c r="AB19" s="331"/>
      <c r="AC19" s="331"/>
      <c r="AD19" s="331"/>
      <c r="AE19" s="331"/>
      <c r="AF19" s="331"/>
    </row>
    <row r="20" spans="1:32" ht="17.399999999999999">
      <c r="A20" s="355"/>
      <c r="B20" s="335"/>
      <c r="C20" s="354"/>
      <c r="D20" s="354"/>
      <c r="E20" s="331"/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</row>
    <row r="21" spans="1:32">
      <c r="A21" s="356"/>
      <c r="B21" s="335"/>
      <c r="C21" s="354"/>
      <c r="D21" s="354"/>
      <c r="E21" s="331"/>
      <c r="F21" s="331"/>
      <c r="G21" s="331"/>
      <c r="H21" s="331"/>
      <c r="I21" s="331"/>
      <c r="J21" s="331"/>
      <c r="K21" s="331"/>
      <c r="L21" s="331"/>
      <c r="M21" s="331"/>
      <c r="N21" s="331"/>
      <c r="O21" s="331"/>
      <c r="P21" s="331"/>
      <c r="Q21" s="331"/>
      <c r="R21" s="331"/>
      <c r="S21" s="331"/>
      <c r="T21" s="331"/>
      <c r="U21" s="331"/>
      <c r="V21" s="331"/>
      <c r="W21" s="331"/>
      <c r="X21" s="331"/>
      <c r="Y21" s="331"/>
      <c r="Z21" s="331"/>
      <c r="AA21" s="331"/>
      <c r="AB21" s="331"/>
      <c r="AC21" s="331"/>
      <c r="AD21" s="331"/>
      <c r="AE21" s="331"/>
      <c r="AF21" s="331"/>
    </row>
    <row r="22" spans="1:32">
      <c r="A22" s="354"/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331"/>
      <c r="AC22" s="331"/>
      <c r="AD22" s="331"/>
      <c r="AE22" s="331"/>
      <c r="AF22" s="331"/>
    </row>
    <row r="23" spans="1:32">
      <c r="A23" s="331"/>
      <c r="B23" s="331"/>
      <c r="C23" s="331"/>
      <c r="D23" s="331"/>
      <c r="E23" s="357">
        <v>0</v>
      </c>
      <c r="F23" s="357">
        <v>1</v>
      </c>
      <c r="G23" s="357">
        <v>2</v>
      </c>
      <c r="H23" s="357">
        <v>3</v>
      </c>
      <c r="I23" s="357">
        <v>4</v>
      </c>
      <c r="J23" s="357">
        <v>5</v>
      </c>
      <c r="K23" s="357">
        <v>6</v>
      </c>
      <c r="L23" s="357">
        <v>7</v>
      </c>
      <c r="M23" s="357">
        <v>8</v>
      </c>
      <c r="N23" s="357">
        <v>9</v>
      </c>
      <c r="O23" s="357">
        <v>10</v>
      </c>
      <c r="P23" s="357">
        <v>11</v>
      </c>
      <c r="Q23" s="357">
        <v>12</v>
      </c>
      <c r="R23" s="357">
        <v>13</v>
      </c>
      <c r="S23" s="357">
        <v>14</v>
      </c>
      <c r="T23" s="357">
        <v>15</v>
      </c>
      <c r="U23" s="357">
        <v>16</v>
      </c>
      <c r="V23" s="357">
        <v>17</v>
      </c>
      <c r="W23" s="357">
        <v>18</v>
      </c>
      <c r="X23" s="357">
        <v>19</v>
      </c>
      <c r="Y23" s="357">
        <v>20</v>
      </c>
      <c r="Z23" s="357">
        <v>21</v>
      </c>
      <c r="AA23" s="357">
        <v>22</v>
      </c>
      <c r="AB23" s="357">
        <v>23</v>
      </c>
      <c r="AC23" s="357">
        <v>24</v>
      </c>
      <c r="AD23" s="357">
        <v>25</v>
      </c>
      <c r="AE23" s="357"/>
      <c r="AF23" s="331"/>
    </row>
    <row r="24" spans="1:32" ht="15.6">
      <c r="A24" s="358" t="s">
        <v>259</v>
      </c>
      <c r="B24" s="359"/>
      <c r="C24" s="359"/>
      <c r="D24" s="359"/>
      <c r="E24" s="360">
        <v>2025</v>
      </c>
      <c r="F24" s="360">
        <f>+E24+1</f>
        <v>2026</v>
      </c>
      <c r="G24" s="360">
        <f t="shared" ref="G24:AD24" si="0">+F24+1</f>
        <v>2027</v>
      </c>
      <c r="H24" s="360">
        <f t="shared" si="0"/>
        <v>2028</v>
      </c>
      <c r="I24" s="360">
        <f t="shared" si="0"/>
        <v>2029</v>
      </c>
      <c r="J24" s="360">
        <f t="shared" si="0"/>
        <v>2030</v>
      </c>
      <c r="K24" s="360">
        <f t="shared" si="0"/>
        <v>2031</v>
      </c>
      <c r="L24" s="360">
        <f t="shared" si="0"/>
        <v>2032</v>
      </c>
      <c r="M24" s="360">
        <f t="shared" si="0"/>
        <v>2033</v>
      </c>
      <c r="N24" s="360">
        <f t="shared" si="0"/>
        <v>2034</v>
      </c>
      <c r="O24" s="360">
        <f t="shared" si="0"/>
        <v>2035</v>
      </c>
      <c r="P24" s="360">
        <f t="shared" si="0"/>
        <v>2036</v>
      </c>
      <c r="Q24" s="360">
        <f t="shared" si="0"/>
        <v>2037</v>
      </c>
      <c r="R24" s="360">
        <f t="shared" si="0"/>
        <v>2038</v>
      </c>
      <c r="S24" s="360">
        <f t="shared" si="0"/>
        <v>2039</v>
      </c>
      <c r="T24" s="360">
        <f t="shared" si="0"/>
        <v>2040</v>
      </c>
      <c r="U24" s="360">
        <f t="shared" si="0"/>
        <v>2041</v>
      </c>
      <c r="V24" s="360">
        <f t="shared" si="0"/>
        <v>2042</v>
      </c>
      <c r="W24" s="360">
        <f t="shared" si="0"/>
        <v>2043</v>
      </c>
      <c r="X24" s="360">
        <f t="shared" si="0"/>
        <v>2044</v>
      </c>
      <c r="Y24" s="360">
        <f t="shared" si="0"/>
        <v>2045</v>
      </c>
      <c r="Z24" s="360">
        <f t="shared" si="0"/>
        <v>2046</v>
      </c>
      <c r="AA24" s="360">
        <f t="shared" si="0"/>
        <v>2047</v>
      </c>
      <c r="AB24" s="360">
        <f t="shared" si="0"/>
        <v>2048</v>
      </c>
      <c r="AC24" s="360">
        <f t="shared" si="0"/>
        <v>2049</v>
      </c>
      <c r="AD24" s="360">
        <f t="shared" si="0"/>
        <v>2050</v>
      </c>
      <c r="AE24" s="360" t="s">
        <v>260</v>
      </c>
      <c r="AF24" s="361"/>
    </row>
    <row r="25" spans="1:32">
      <c r="A25" s="362"/>
      <c r="B25" s="362"/>
      <c r="C25" s="362"/>
      <c r="D25" s="362"/>
      <c r="E25" s="362"/>
      <c r="F25" s="362"/>
      <c r="G25" s="362"/>
      <c r="H25" s="362"/>
      <c r="I25" s="362"/>
      <c r="J25" s="362"/>
      <c r="K25" s="362"/>
      <c r="L25" s="343"/>
      <c r="M25" s="343"/>
      <c r="N25" s="343"/>
      <c r="O25" s="343"/>
      <c r="P25" s="343"/>
      <c r="Q25" s="343"/>
      <c r="R25" s="343"/>
      <c r="S25" s="343"/>
      <c r="T25" s="343"/>
      <c r="U25" s="343"/>
      <c r="V25" s="343"/>
      <c r="W25" s="343"/>
      <c r="X25" s="343"/>
      <c r="Y25" s="343"/>
      <c r="Z25" s="343"/>
      <c r="AA25" s="343"/>
      <c r="AB25" s="343"/>
      <c r="AC25" s="343"/>
      <c r="AD25" s="343"/>
      <c r="AE25" s="343"/>
      <c r="AF25" s="331"/>
    </row>
    <row r="26" spans="1:32">
      <c r="A26" s="343" t="s">
        <v>261</v>
      </c>
      <c r="B26" s="343"/>
      <c r="C26" s="343"/>
      <c r="D26" s="363"/>
      <c r="E26" s="364" t="s">
        <v>262</v>
      </c>
      <c r="F26" s="363">
        <f>Calcolo!M63*1000</f>
        <v>4140450</v>
      </c>
      <c r="G26" s="365">
        <f>F26</f>
        <v>4140450</v>
      </c>
      <c r="H26" s="365">
        <f t="shared" ref="H26:W26" si="1">G26</f>
        <v>4140450</v>
      </c>
      <c r="I26" s="365">
        <f t="shared" si="1"/>
        <v>4140450</v>
      </c>
      <c r="J26" s="365">
        <f t="shared" si="1"/>
        <v>4140450</v>
      </c>
      <c r="K26" s="365">
        <f t="shared" si="1"/>
        <v>4140450</v>
      </c>
      <c r="L26" s="365">
        <f t="shared" si="1"/>
        <v>4140450</v>
      </c>
      <c r="M26" s="365">
        <f t="shared" si="1"/>
        <v>4140450</v>
      </c>
      <c r="N26" s="365">
        <f t="shared" si="1"/>
        <v>4140450</v>
      </c>
      <c r="O26" s="365">
        <f t="shared" si="1"/>
        <v>4140450</v>
      </c>
      <c r="P26" s="365">
        <f t="shared" si="1"/>
        <v>4140450</v>
      </c>
      <c r="Q26" s="365">
        <f t="shared" si="1"/>
        <v>4140450</v>
      </c>
      <c r="R26" s="365">
        <f t="shared" si="1"/>
        <v>4140450</v>
      </c>
      <c r="S26" s="365">
        <f t="shared" si="1"/>
        <v>4140450</v>
      </c>
      <c r="T26" s="365">
        <f t="shared" si="1"/>
        <v>4140450</v>
      </c>
      <c r="U26" s="365">
        <f t="shared" si="1"/>
        <v>4140450</v>
      </c>
      <c r="V26" s="365">
        <f t="shared" si="1"/>
        <v>4140450</v>
      </c>
      <c r="W26" s="365">
        <f t="shared" si="1"/>
        <v>4140450</v>
      </c>
      <c r="X26" s="365">
        <f t="shared" ref="X26:AD26" si="2">W26</f>
        <v>4140450</v>
      </c>
      <c r="Y26" s="365">
        <f t="shared" si="2"/>
        <v>4140450</v>
      </c>
      <c r="Z26" s="365">
        <f t="shared" si="2"/>
        <v>4140450</v>
      </c>
      <c r="AA26" s="365">
        <f t="shared" si="2"/>
        <v>4140450</v>
      </c>
      <c r="AB26" s="365">
        <f t="shared" si="2"/>
        <v>4140450</v>
      </c>
      <c r="AC26" s="365">
        <f t="shared" si="2"/>
        <v>4140450</v>
      </c>
      <c r="AD26" s="365">
        <f t="shared" si="2"/>
        <v>4140450</v>
      </c>
      <c r="AE26" s="365">
        <f>SUM(F26:AD26)</f>
        <v>103511250</v>
      </c>
      <c r="AF26" s="331"/>
    </row>
    <row r="27" spans="1:32">
      <c r="A27" s="362"/>
      <c r="B27" s="362"/>
      <c r="C27" s="362"/>
      <c r="D27" s="362"/>
      <c r="E27" s="365"/>
      <c r="F27" s="367"/>
      <c r="G27" s="367"/>
      <c r="H27" s="367"/>
      <c r="I27" s="367"/>
      <c r="J27" s="367"/>
      <c r="K27" s="367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43"/>
      <c r="W27" s="343"/>
      <c r="X27" s="343"/>
      <c r="Y27" s="343"/>
      <c r="Z27" s="343"/>
      <c r="AA27" s="343"/>
      <c r="AB27" s="343"/>
      <c r="AC27" s="343"/>
      <c r="AD27" s="343"/>
      <c r="AE27" s="343"/>
      <c r="AF27" s="331"/>
    </row>
    <row r="28" spans="1:32">
      <c r="A28" s="362" t="s">
        <v>263</v>
      </c>
      <c r="B28" s="343"/>
      <c r="C28" s="343"/>
      <c r="D28" s="368">
        <f>H7</f>
        <v>9.6000000000000002E-2</v>
      </c>
      <c r="E28" s="369" t="s">
        <v>240</v>
      </c>
      <c r="F28" s="370">
        <f>+H7</f>
        <v>9.6000000000000002E-2</v>
      </c>
      <c r="G28" s="371">
        <f t="shared" ref="G28:AD28" si="3">F28</f>
        <v>9.6000000000000002E-2</v>
      </c>
      <c r="H28" s="371">
        <f t="shared" si="3"/>
        <v>9.6000000000000002E-2</v>
      </c>
      <c r="I28" s="371">
        <f t="shared" si="3"/>
        <v>9.6000000000000002E-2</v>
      </c>
      <c r="J28" s="371">
        <f t="shared" si="3"/>
        <v>9.6000000000000002E-2</v>
      </c>
      <c r="K28" s="371">
        <f t="shared" si="3"/>
        <v>9.6000000000000002E-2</v>
      </c>
      <c r="L28" s="371">
        <f t="shared" si="3"/>
        <v>9.6000000000000002E-2</v>
      </c>
      <c r="M28" s="371">
        <f t="shared" si="3"/>
        <v>9.6000000000000002E-2</v>
      </c>
      <c r="N28" s="371">
        <f t="shared" si="3"/>
        <v>9.6000000000000002E-2</v>
      </c>
      <c r="O28" s="371">
        <f t="shared" si="3"/>
        <v>9.6000000000000002E-2</v>
      </c>
      <c r="P28" s="371">
        <f t="shared" si="3"/>
        <v>9.6000000000000002E-2</v>
      </c>
      <c r="Q28" s="371">
        <f t="shared" si="3"/>
        <v>9.6000000000000002E-2</v>
      </c>
      <c r="R28" s="371">
        <f t="shared" si="3"/>
        <v>9.6000000000000002E-2</v>
      </c>
      <c r="S28" s="371">
        <f t="shared" si="3"/>
        <v>9.6000000000000002E-2</v>
      </c>
      <c r="T28" s="371">
        <f t="shared" si="3"/>
        <v>9.6000000000000002E-2</v>
      </c>
      <c r="U28" s="371">
        <f t="shared" si="3"/>
        <v>9.6000000000000002E-2</v>
      </c>
      <c r="V28" s="371">
        <f t="shared" si="3"/>
        <v>9.6000000000000002E-2</v>
      </c>
      <c r="W28" s="371">
        <f t="shared" si="3"/>
        <v>9.6000000000000002E-2</v>
      </c>
      <c r="X28" s="371">
        <f t="shared" si="3"/>
        <v>9.6000000000000002E-2</v>
      </c>
      <c r="Y28" s="371">
        <f t="shared" si="3"/>
        <v>9.6000000000000002E-2</v>
      </c>
      <c r="Z28" s="371">
        <f t="shared" si="3"/>
        <v>9.6000000000000002E-2</v>
      </c>
      <c r="AA28" s="371">
        <f t="shared" si="3"/>
        <v>9.6000000000000002E-2</v>
      </c>
      <c r="AB28" s="371">
        <f t="shared" si="3"/>
        <v>9.6000000000000002E-2</v>
      </c>
      <c r="AC28" s="371">
        <f t="shared" si="3"/>
        <v>9.6000000000000002E-2</v>
      </c>
      <c r="AD28" s="371">
        <f t="shared" si="3"/>
        <v>9.6000000000000002E-2</v>
      </c>
      <c r="AE28" s="371"/>
      <c r="AF28" s="331"/>
    </row>
    <row r="29" spans="1:32">
      <c r="A29" s="362"/>
      <c r="B29" s="362"/>
      <c r="C29" s="362"/>
      <c r="D29" s="362"/>
      <c r="E29" s="362"/>
      <c r="F29" s="362"/>
      <c r="G29" s="366"/>
      <c r="H29" s="366"/>
      <c r="I29" s="366"/>
      <c r="J29" s="366"/>
      <c r="K29" s="366"/>
      <c r="L29" s="343"/>
      <c r="M29" s="343"/>
      <c r="N29" s="343"/>
      <c r="O29" s="343"/>
      <c r="P29" s="343"/>
      <c r="Q29" s="343"/>
      <c r="R29" s="343"/>
      <c r="S29" s="343"/>
      <c r="T29" s="343"/>
      <c r="U29" s="343"/>
      <c r="V29" s="343"/>
      <c r="W29" s="343"/>
      <c r="X29" s="343"/>
      <c r="Y29" s="343"/>
      <c r="Z29" s="343"/>
      <c r="AA29" s="343"/>
      <c r="AB29" s="343"/>
      <c r="AC29" s="343"/>
      <c r="AD29" s="343"/>
      <c r="AE29" s="343"/>
      <c r="AF29" s="331"/>
    </row>
    <row r="30" spans="1:32">
      <c r="A30" s="362" t="s">
        <v>264</v>
      </c>
      <c r="B30" s="343"/>
      <c r="C30" s="343"/>
      <c r="D30" s="362"/>
      <c r="E30" s="369" t="s">
        <v>236</v>
      </c>
      <c r="F30" s="365">
        <f t="shared" ref="F30:AD30" si="4">F26*F28</f>
        <v>397483.2</v>
      </c>
      <c r="G30" s="365">
        <f t="shared" si="4"/>
        <v>397483.2</v>
      </c>
      <c r="H30" s="365">
        <f t="shared" si="4"/>
        <v>397483.2</v>
      </c>
      <c r="I30" s="365">
        <f t="shared" si="4"/>
        <v>397483.2</v>
      </c>
      <c r="J30" s="365">
        <f t="shared" si="4"/>
        <v>397483.2</v>
      </c>
      <c r="K30" s="365">
        <f t="shared" si="4"/>
        <v>397483.2</v>
      </c>
      <c r="L30" s="365">
        <f t="shared" si="4"/>
        <v>397483.2</v>
      </c>
      <c r="M30" s="365">
        <f t="shared" si="4"/>
        <v>397483.2</v>
      </c>
      <c r="N30" s="365">
        <f t="shared" si="4"/>
        <v>397483.2</v>
      </c>
      <c r="O30" s="365">
        <f t="shared" si="4"/>
        <v>397483.2</v>
      </c>
      <c r="P30" s="365">
        <f t="shared" si="4"/>
        <v>397483.2</v>
      </c>
      <c r="Q30" s="365">
        <f t="shared" si="4"/>
        <v>397483.2</v>
      </c>
      <c r="R30" s="365">
        <f t="shared" si="4"/>
        <v>397483.2</v>
      </c>
      <c r="S30" s="365">
        <f t="shared" si="4"/>
        <v>397483.2</v>
      </c>
      <c r="T30" s="365">
        <f t="shared" si="4"/>
        <v>397483.2</v>
      </c>
      <c r="U30" s="365">
        <f t="shared" si="4"/>
        <v>397483.2</v>
      </c>
      <c r="V30" s="365">
        <f t="shared" si="4"/>
        <v>397483.2</v>
      </c>
      <c r="W30" s="365">
        <f t="shared" si="4"/>
        <v>397483.2</v>
      </c>
      <c r="X30" s="365">
        <f t="shared" si="4"/>
        <v>397483.2</v>
      </c>
      <c r="Y30" s="365">
        <f t="shared" si="4"/>
        <v>397483.2</v>
      </c>
      <c r="Z30" s="365">
        <f t="shared" si="4"/>
        <v>397483.2</v>
      </c>
      <c r="AA30" s="365">
        <f t="shared" si="4"/>
        <v>397483.2</v>
      </c>
      <c r="AB30" s="365">
        <f t="shared" si="4"/>
        <v>397483.2</v>
      </c>
      <c r="AC30" s="365">
        <f t="shared" si="4"/>
        <v>397483.2</v>
      </c>
      <c r="AD30" s="365">
        <f t="shared" si="4"/>
        <v>397483.2</v>
      </c>
      <c r="AE30" s="365">
        <f>SUM(F30:AD30)</f>
        <v>9937080</v>
      </c>
      <c r="AF30" s="331"/>
    </row>
    <row r="31" spans="1:32" ht="15" thickBot="1">
      <c r="A31" s="403"/>
      <c r="B31" s="403"/>
      <c r="C31" s="403"/>
      <c r="D31" s="403"/>
      <c r="E31" s="403"/>
      <c r="F31" s="403"/>
      <c r="G31" s="403"/>
      <c r="H31" s="403"/>
      <c r="I31" s="403"/>
      <c r="J31" s="403"/>
      <c r="K31" s="403"/>
      <c r="L31" s="403"/>
      <c r="M31" s="403"/>
      <c r="N31" s="403"/>
      <c r="O31" s="403"/>
      <c r="P31" s="403"/>
      <c r="Q31" s="403"/>
      <c r="R31" s="403"/>
      <c r="S31" s="403"/>
      <c r="T31" s="403"/>
      <c r="U31" s="403"/>
      <c r="V31" s="403"/>
      <c r="W31" s="403"/>
      <c r="X31" s="403"/>
      <c r="Y31" s="403"/>
      <c r="Z31" s="403"/>
      <c r="AA31" s="403"/>
      <c r="AB31" s="403"/>
      <c r="AC31" s="403"/>
      <c r="AD31" s="403"/>
      <c r="AE31" s="403"/>
      <c r="AF31" s="331"/>
    </row>
    <row r="32" spans="1:32">
      <c r="A32" t="s">
        <v>289</v>
      </c>
      <c r="E32" s="401" t="s">
        <v>262</v>
      </c>
      <c r="F32" s="402">
        <f>Calcolo!$M$73*1000*(1-0.15)</f>
        <v>6463948.5573088797</v>
      </c>
      <c r="G32" s="402">
        <f>Calcolo!$M$73*1000*(1-0.15)</f>
        <v>6463948.5573088797</v>
      </c>
      <c r="H32" s="402">
        <f>Calcolo!$M$73*1000*(1-0.15)</f>
        <v>6463948.5573088797</v>
      </c>
      <c r="I32" s="402">
        <f>Calcolo!$M$73*1000*(1-0.15)</f>
        <v>6463948.5573088797</v>
      </c>
      <c r="J32" s="402">
        <f>Calcolo!$M$73*1000*(1-0.15)</f>
        <v>6463948.5573088797</v>
      </c>
      <c r="K32" s="402">
        <f>Calcolo!$M$73*1000*(1-0.15)</f>
        <v>6463948.5573088797</v>
      </c>
      <c r="L32" s="402">
        <f>Calcolo!$M$73*1000*(1-0.15)</f>
        <v>6463948.5573088797</v>
      </c>
      <c r="M32" s="402">
        <f>Calcolo!$M$73*1000*(1-0.15)</f>
        <v>6463948.5573088797</v>
      </c>
      <c r="N32" s="402">
        <f>Calcolo!$M$73*1000*(1-0.15)</f>
        <v>6463948.5573088797</v>
      </c>
      <c r="O32" s="402">
        <f>Calcolo!$M$73*1000*(1-0.15)</f>
        <v>6463948.5573088797</v>
      </c>
      <c r="P32" s="402">
        <f>Calcolo!$M$73*1000*(1-0.15)</f>
        <v>6463948.5573088797</v>
      </c>
      <c r="Q32" s="402">
        <f>Calcolo!$M$73*1000*(1-0.15)</f>
        <v>6463948.5573088797</v>
      </c>
      <c r="R32" s="402">
        <f>Calcolo!$M$73*1000*(1-0.15)</f>
        <v>6463948.5573088797</v>
      </c>
      <c r="S32" s="402">
        <f>Calcolo!$M$73*1000*(1-0.15)</f>
        <v>6463948.5573088797</v>
      </c>
      <c r="T32" s="402">
        <f>Calcolo!$M$73*1000*(1-0.15)</f>
        <v>6463948.5573088797</v>
      </c>
      <c r="U32" s="402">
        <f>Calcolo!$M$73*1000*(1-0.15)</f>
        <v>6463948.5573088797</v>
      </c>
      <c r="V32" s="402">
        <f>Calcolo!$M$73*1000*(1-0.15)</f>
        <v>6463948.5573088797</v>
      </c>
      <c r="W32" s="402">
        <f>Calcolo!$M$73*1000*(1-0.15)</f>
        <v>6463948.5573088797</v>
      </c>
      <c r="X32" s="402">
        <f>Calcolo!$M$73*1000*(1-0.15)</f>
        <v>6463948.5573088797</v>
      </c>
      <c r="Y32" s="402">
        <f>Calcolo!$M$73*1000*(1-0.15)</f>
        <v>6463948.5573088797</v>
      </c>
      <c r="Z32" s="402">
        <f>Calcolo!$M$73*1000*(1-0.15)</f>
        <v>6463948.5573088797</v>
      </c>
      <c r="AA32" s="402">
        <f>Calcolo!$M$73*1000*(1-0.15)</f>
        <v>6463948.5573088797</v>
      </c>
      <c r="AB32" s="402">
        <f>Calcolo!$M$73*1000*(1-0.15)</f>
        <v>6463948.5573088797</v>
      </c>
      <c r="AC32" s="402">
        <f>Calcolo!$M$73*1000*(1-0.15)</f>
        <v>6463948.5573088797</v>
      </c>
      <c r="AD32" s="402">
        <f>Calcolo!$M$73*1000*(1-0.15)</f>
        <v>6463948.5573088797</v>
      </c>
      <c r="AF32" s="331"/>
    </row>
    <row r="33" spans="1:32">
      <c r="A33" s="362"/>
      <c r="B33" s="362"/>
      <c r="C33" s="362"/>
      <c r="D33" s="375"/>
      <c r="E33" s="369"/>
      <c r="F33" s="365"/>
      <c r="G33" s="365"/>
      <c r="H33" s="365"/>
      <c r="I33" s="365"/>
      <c r="J33" s="365"/>
      <c r="K33" s="365"/>
      <c r="L33" s="365"/>
      <c r="M33" s="365"/>
      <c r="N33" s="365"/>
      <c r="O33" s="365"/>
      <c r="P33" s="365"/>
      <c r="Q33" s="365"/>
      <c r="R33" s="365"/>
      <c r="S33" s="365"/>
      <c r="T33" s="365"/>
      <c r="U33" s="365"/>
      <c r="V33" s="365"/>
      <c r="W33" s="365"/>
      <c r="X33" s="365"/>
      <c r="Y33" s="365"/>
      <c r="Z33" s="365"/>
      <c r="AA33" s="365"/>
      <c r="AB33" s="365"/>
      <c r="AC33" s="365"/>
      <c r="AD33" s="365"/>
      <c r="AE33" s="365"/>
      <c r="AF33" s="331"/>
    </row>
    <row r="34" spans="1:32">
      <c r="A34" s="362" t="s">
        <v>290</v>
      </c>
      <c r="B34" s="343"/>
      <c r="C34" s="376"/>
      <c r="D34" s="368">
        <f>0.105</f>
        <v>0.105</v>
      </c>
      <c r="E34" s="369" t="s">
        <v>240</v>
      </c>
      <c r="F34" s="368">
        <f>$D$34</f>
        <v>0.105</v>
      </c>
      <c r="G34" s="368">
        <f t="shared" ref="G34:AD34" si="5">$D$34</f>
        <v>0.105</v>
      </c>
      <c r="H34" s="368">
        <f t="shared" si="5"/>
        <v>0.105</v>
      </c>
      <c r="I34" s="368">
        <f t="shared" si="5"/>
        <v>0.105</v>
      </c>
      <c r="J34" s="368">
        <f t="shared" si="5"/>
        <v>0.105</v>
      </c>
      <c r="K34" s="368">
        <f t="shared" si="5"/>
        <v>0.105</v>
      </c>
      <c r="L34" s="368">
        <f t="shared" si="5"/>
        <v>0.105</v>
      </c>
      <c r="M34" s="368">
        <f t="shared" si="5"/>
        <v>0.105</v>
      </c>
      <c r="N34" s="368">
        <f t="shared" si="5"/>
        <v>0.105</v>
      </c>
      <c r="O34" s="368">
        <f t="shared" si="5"/>
        <v>0.105</v>
      </c>
      <c r="P34" s="368">
        <f t="shared" si="5"/>
        <v>0.105</v>
      </c>
      <c r="Q34" s="368">
        <f t="shared" si="5"/>
        <v>0.105</v>
      </c>
      <c r="R34" s="368">
        <f t="shared" si="5"/>
        <v>0.105</v>
      </c>
      <c r="S34" s="368">
        <f t="shared" si="5"/>
        <v>0.105</v>
      </c>
      <c r="T34" s="368">
        <f t="shared" si="5"/>
        <v>0.105</v>
      </c>
      <c r="U34" s="368">
        <f t="shared" si="5"/>
        <v>0.105</v>
      </c>
      <c r="V34" s="368">
        <f t="shared" si="5"/>
        <v>0.105</v>
      </c>
      <c r="W34" s="368">
        <f t="shared" si="5"/>
        <v>0.105</v>
      </c>
      <c r="X34" s="368">
        <f t="shared" si="5"/>
        <v>0.105</v>
      </c>
      <c r="Y34" s="368">
        <f t="shared" si="5"/>
        <v>0.105</v>
      </c>
      <c r="Z34" s="368">
        <f t="shared" si="5"/>
        <v>0.105</v>
      </c>
      <c r="AA34" s="368">
        <f t="shared" si="5"/>
        <v>0.105</v>
      </c>
      <c r="AB34" s="368">
        <f t="shared" si="5"/>
        <v>0.105</v>
      </c>
      <c r="AC34" s="368">
        <f t="shared" si="5"/>
        <v>0.105</v>
      </c>
      <c r="AD34" s="368">
        <f t="shared" si="5"/>
        <v>0.105</v>
      </c>
      <c r="AE34" s="365"/>
      <c r="AF34" s="331"/>
    </row>
    <row r="35" spans="1:32">
      <c r="A35" s="362"/>
      <c r="B35" s="343"/>
      <c r="C35" s="376"/>
      <c r="D35" s="368"/>
      <c r="E35" s="369"/>
      <c r="F35" s="368"/>
      <c r="G35" s="368"/>
      <c r="H35" s="368"/>
      <c r="I35" s="368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5"/>
      <c r="AF35" s="331"/>
    </row>
    <row r="36" spans="1:32">
      <c r="A36" s="362" t="s">
        <v>291</v>
      </c>
      <c r="B36" s="343"/>
      <c r="C36" s="376"/>
      <c r="D36" s="368"/>
      <c r="E36" s="369" t="s">
        <v>236</v>
      </c>
      <c r="F36" s="368">
        <f>F32*F34</f>
        <v>678714.59851743234</v>
      </c>
      <c r="G36" s="368">
        <f t="shared" ref="G36:AD36" si="6">G32*G34</f>
        <v>678714.59851743234</v>
      </c>
      <c r="H36" s="368">
        <f t="shared" si="6"/>
        <v>678714.59851743234</v>
      </c>
      <c r="I36" s="368">
        <f t="shared" si="6"/>
        <v>678714.59851743234</v>
      </c>
      <c r="J36" s="368">
        <f t="shared" si="6"/>
        <v>678714.59851743234</v>
      </c>
      <c r="K36" s="368">
        <f t="shared" si="6"/>
        <v>678714.59851743234</v>
      </c>
      <c r="L36" s="368">
        <f t="shared" si="6"/>
        <v>678714.59851743234</v>
      </c>
      <c r="M36" s="368">
        <f t="shared" si="6"/>
        <v>678714.59851743234</v>
      </c>
      <c r="N36" s="368">
        <f t="shared" si="6"/>
        <v>678714.59851743234</v>
      </c>
      <c r="O36" s="368">
        <f t="shared" si="6"/>
        <v>678714.59851743234</v>
      </c>
      <c r="P36" s="368">
        <f t="shared" si="6"/>
        <v>678714.59851743234</v>
      </c>
      <c r="Q36" s="368">
        <f t="shared" si="6"/>
        <v>678714.59851743234</v>
      </c>
      <c r="R36" s="368">
        <f t="shared" si="6"/>
        <v>678714.59851743234</v>
      </c>
      <c r="S36" s="368">
        <f t="shared" si="6"/>
        <v>678714.59851743234</v>
      </c>
      <c r="T36" s="368">
        <f t="shared" si="6"/>
        <v>678714.59851743234</v>
      </c>
      <c r="U36" s="368">
        <f t="shared" si="6"/>
        <v>678714.59851743234</v>
      </c>
      <c r="V36" s="368">
        <f t="shared" si="6"/>
        <v>678714.59851743234</v>
      </c>
      <c r="W36" s="368">
        <f t="shared" si="6"/>
        <v>678714.59851743234</v>
      </c>
      <c r="X36" s="368">
        <f t="shared" si="6"/>
        <v>678714.59851743234</v>
      </c>
      <c r="Y36" s="368">
        <f t="shared" si="6"/>
        <v>678714.59851743234</v>
      </c>
      <c r="Z36" s="368">
        <f t="shared" si="6"/>
        <v>678714.59851743234</v>
      </c>
      <c r="AA36" s="368">
        <f t="shared" si="6"/>
        <v>678714.59851743234</v>
      </c>
      <c r="AB36" s="368">
        <f t="shared" si="6"/>
        <v>678714.59851743234</v>
      </c>
      <c r="AC36" s="368">
        <f t="shared" si="6"/>
        <v>678714.59851743234</v>
      </c>
      <c r="AD36" s="368">
        <f t="shared" si="6"/>
        <v>678714.59851743234</v>
      </c>
      <c r="AE36" s="365"/>
      <c r="AF36" s="331"/>
    </row>
    <row r="37" spans="1:32" ht="15" thickBot="1">
      <c r="A37" s="410"/>
      <c r="B37" s="411"/>
      <c r="C37" s="412"/>
      <c r="D37" s="413"/>
      <c r="E37" s="414"/>
      <c r="F37" s="413"/>
      <c r="G37" s="413"/>
      <c r="H37" s="413"/>
      <c r="I37" s="413"/>
      <c r="J37" s="413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  <c r="X37" s="413"/>
      <c r="Y37" s="413"/>
      <c r="Z37" s="413"/>
      <c r="AA37" s="413"/>
      <c r="AB37" s="413"/>
      <c r="AC37" s="413"/>
      <c r="AD37" s="413"/>
      <c r="AE37" s="415"/>
      <c r="AF37" s="331"/>
    </row>
    <row r="38" spans="1:32">
      <c r="A38" s="416" t="s">
        <v>292</v>
      </c>
      <c r="B38" s="417"/>
      <c r="C38" s="418"/>
      <c r="D38" s="419"/>
      <c r="E38" s="369" t="s">
        <v>236</v>
      </c>
      <c r="F38" s="419">
        <f>Calcolo!$D$215</f>
        <v>177702.10911392228</v>
      </c>
      <c r="G38" s="419">
        <f>Calcolo!$D$215</f>
        <v>177702.10911392228</v>
      </c>
      <c r="H38" s="419">
        <f>Calcolo!$D$215</f>
        <v>177702.10911392228</v>
      </c>
      <c r="I38" s="419">
        <f>Calcolo!$D$215</f>
        <v>177702.10911392228</v>
      </c>
      <c r="J38" s="419">
        <f>Calcolo!$D$215</f>
        <v>177702.10911392228</v>
      </c>
      <c r="K38" s="419">
        <f>Calcolo!$D$215</f>
        <v>177702.10911392228</v>
      </c>
      <c r="L38" s="419">
        <f>Calcolo!$D$215</f>
        <v>177702.10911392228</v>
      </c>
      <c r="M38" s="419">
        <f>Calcolo!$D$215</f>
        <v>177702.10911392228</v>
      </c>
      <c r="N38" s="419">
        <f>Calcolo!$D$215</f>
        <v>177702.10911392228</v>
      </c>
      <c r="O38" s="419">
        <f>Calcolo!$D$215</f>
        <v>177702.10911392228</v>
      </c>
      <c r="P38" s="419">
        <f>Calcolo!$D$215</f>
        <v>177702.10911392228</v>
      </c>
      <c r="Q38" s="419">
        <f>Calcolo!$D$215</f>
        <v>177702.10911392228</v>
      </c>
      <c r="R38" s="419">
        <f>Calcolo!$D$215</f>
        <v>177702.10911392228</v>
      </c>
      <c r="S38" s="419">
        <f>Calcolo!$D$215</f>
        <v>177702.10911392228</v>
      </c>
      <c r="T38" s="419">
        <f>Calcolo!$D$215</f>
        <v>177702.10911392228</v>
      </c>
      <c r="U38" s="419"/>
      <c r="V38" s="419"/>
      <c r="W38" s="419"/>
      <c r="X38" s="419"/>
      <c r="Y38" s="419"/>
      <c r="Z38" s="419"/>
      <c r="AA38" s="419"/>
      <c r="AB38" s="419"/>
      <c r="AC38" s="419"/>
      <c r="AD38" s="419"/>
      <c r="AE38" s="420"/>
      <c r="AF38" s="331"/>
    </row>
    <row r="39" spans="1:32" ht="15" thickBot="1">
      <c r="A39" s="422"/>
      <c r="B39" s="423"/>
      <c r="C39" s="424"/>
      <c r="D39" s="425"/>
      <c r="E39" s="426"/>
      <c r="F39" s="425"/>
      <c r="G39" s="425"/>
      <c r="H39" s="425"/>
      <c r="I39" s="425"/>
      <c r="J39" s="425"/>
      <c r="K39" s="425"/>
      <c r="L39" s="425"/>
      <c r="M39" s="425"/>
      <c r="N39" s="425"/>
      <c r="O39" s="425"/>
      <c r="P39" s="425"/>
      <c r="Q39" s="425"/>
      <c r="R39" s="425"/>
      <c r="S39" s="425"/>
      <c r="T39" s="425"/>
      <c r="U39" s="425"/>
      <c r="V39" s="425"/>
      <c r="W39" s="425"/>
      <c r="X39" s="425"/>
      <c r="Y39" s="425"/>
      <c r="Z39" s="425"/>
      <c r="AA39" s="425"/>
      <c r="AB39" s="425"/>
      <c r="AC39" s="425"/>
      <c r="AD39" s="425"/>
      <c r="AE39" s="427"/>
      <c r="AF39" s="331"/>
    </row>
    <row r="40" spans="1:32">
      <c r="A40" s="416" t="s">
        <v>299</v>
      </c>
      <c r="B40" s="417"/>
      <c r="C40" s="418"/>
      <c r="D40" s="419">
        <v>21.93</v>
      </c>
      <c r="E40" s="408"/>
      <c r="F40" s="419">
        <f>F32*$D$40/1000</f>
        <v>141754.39186178375</v>
      </c>
      <c r="G40" s="419">
        <f t="shared" ref="G40:AD40" si="7">G32*$D$40/1000</f>
        <v>141754.39186178375</v>
      </c>
      <c r="H40" s="419">
        <f t="shared" si="7"/>
        <v>141754.39186178375</v>
      </c>
      <c r="I40" s="419">
        <f t="shared" si="7"/>
        <v>141754.39186178375</v>
      </c>
      <c r="J40" s="419">
        <f t="shared" si="7"/>
        <v>141754.39186178375</v>
      </c>
      <c r="K40" s="419">
        <f t="shared" si="7"/>
        <v>141754.39186178375</v>
      </c>
      <c r="L40" s="419">
        <f t="shared" si="7"/>
        <v>141754.39186178375</v>
      </c>
      <c r="M40" s="419">
        <f t="shared" si="7"/>
        <v>141754.39186178375</v>
      </c>
      <c r="N40" s="419">
        <f t="shared" si="7"/>
        <v>141754.39186178375</v>
      </c>
      <c r="O40" s="419">
        <f t="shared" si="7"/>
        <v>141754.39186178375</v>
      </c>
      <c r="P40" s="419">
        <f t="shared" si="7"/>
        <v>141754.39186178375</v>
      </c>
      <c r="Q40" s="419">
        <f t="shared" si="7"/>
        <v>141754.39186178375</v>
      </c>
      <c r="R40" s="419">
        <f t="shared" si="7"/>
        <v>141754.39186178375</v>
      </c>
      <c r="S40" s="419">
        <f t="shared" si="7"/>
        <v>141754.39186178375</v>
      </c>
      <c r="T40" s="419">
        <f t="shared" si="7"/>
        <v>141754.39186178375</v>
      </c>
      <c r="U40" s="419">
        <f t="shared" si="7"/>
        <v>141754.39186178375</v>
      </c>
      <c r="V40" s="419">
        <f t="shared" si="7"/>
        <v>141754.39186178375</v>
      </c>
      <c r="W40" s="419">
        <f t="shared" si="7"/>
        <v>141754.39186178375</v>
      </c>
      <c r="X40" s="419">
        <f t="shared" si="7"/>
        <v>141754.39186178375</v>
      </c>
      <c r="Y40" s="419">
        <f t="shared" si="7"/>
        <v>141754.39186178375</v>
      </c>
      <c r="Z40" s="419">
        <f t="shared" si="7"/>
        <v>141754.39186178375</v>
      </c>
      <c r="AA40" s="419">
        <f t="shared" si="7"/>
        <v>141754.39186178375</v>
      </c>
      <c r="AB40" s="419">
        <f t="shared" si="7"/>
        <v>141754.39186178375</v>
      </c>
      <c r="AC40" s="419">
        <f t="shared" si="7"/>
        <v>141754.39186178375</v>
      </c>
      <c r="AD40" s="419">
        <f t="shared" si="7"/>
        <v>141754.39186178375</v>
      </c>
      <c r="AE40" s="420"/>
      <c r="AF40" s="331"/>
    </row>
    <row r="41" spans="1:32">
      <c r="A41" s="404" t="s">
        <v>300</v>
      </c>
      <c r="B41" s="405"/>
      <c r="C41" s="406"/>
      <c r="D41" s="407">
        <f>B3*20.66</f>
        <v>24792</v>
      </c>
      <c r="E41" s="408"/>
      <c r="F41" s="407"/>
      <c r="G41" s="407"/>
      <c r="H41" s="407"/>
      <c r="I41" s="407"/>
      <c r="J41" s="407"/>
      <c r="K41" s="407"/>
      <c r="L41" s="407"/>
      <c r="M41" s="407"/>
      <c r="N41" s="407"/>
      <c r="O41" s="407"/>
      <c r="P41" s="407"/>
      <c r="Q41" s="407"/>
      <c r="R41" s="407"/>
      <c r="S41" s="407"/>
      <c r="T41" s="407"/>
      <c r="U41" s="407"/>
      <c r="V41" s="407"/>
      <c r="W41" s="407"/>
      <c r="X41" s="407"/>
      <c r="Y41" s="407"/>
      <c r="Z41" s="407"/>
      <c r="AA41" s="407"/>
      <c r="AB41" s="407"/>
      <c r="AC41" s="407"/>
      <c r="AD41" s="407"/>
      <c r="AE41" s="409"/>
      <c r="AF41" s="331"/>
    </row>
    <row r="42" spans="1:32">
      <c r="A42" s="362"/>
      <c r="B42" s="362"/>
      <c r="C42" s="362"/>
      <c r="D42" s="375"/>
      <c r="E42" s="369"/>
      <c r="F42" s="365"/>
      <c r="G42" s="365"/>
      <c r="H42" s="365"/>
      <c r="I42" s="365"/>
      <c r="J42" s="365"/>
      <c r="K42" s="365"/>
      <c r="L42" s="365"/>
      <c r="M42" s="365"/>
      <c r="N42" s="365"/>
      <c r="O42" s="365"/>
      <c r="P42" s="365"/>
      <c r="Q42" s="365"/>
      <c r="R42" s="365"/>
      <c r="S42" s="365"/>
      <c r="T42" s="365"/>
      <c r="U42" s="365"/>
      <c r="V42" s="365"/>
      <c r="W42" s="365"/>
      <c r="X42" s="365"/>
      <c r="Y42" s="365"/>
      <c r="Z42" s="365"/>
      <c r="AA42" s="365"/>
      <c r="AB42" s="365"/>
      <c r="AC42" s="365"/>
      <c r="AD42" s="365"/>
      <c r="AE42" s="365"/>
      <c r="AF42" s="331"/>
    </row>
    <row r="43" spans="1:32">
      <c r="A43" s="362" t="s">
        <v>265</v>
      </c>
      <c r="B43" s="362"/>
      <c r="C43" s="362"/>
      <c r="D43" s="362"/>
      <c r="E43" s="372"/>
      <c r="F43" s="373">
        <v>0</v>
      </c>
      <c r="G43" s="373">
        <f t="shared" ref="G43:AD43" si="8">+$B$6</f>
        <v>5.0000000000000001E-3</v>
      </c>
      <c r="H43" s="373">
        <f t="shared" si="8"/>
        <v>5.0000000000000001E-3</v>
      </c>
      <c r="I43" s="373">
        <f t="shared" si="8"/>
        <v>5.0000000000000001E-3</v>
      </c>
      <c r="J43" s="373">
        <f t="shared" si="8"/>
        <v>5.0000000000000001E-3</v>
      </c>
      <c r="K43" s="373">
        <f t="shared" si="8"/>
        <v>5.0000000000000001E-3</v>
      </c>
      <c r="L43" s="373">
        <f t="shared" si="8"/>
        <v>5.0000000000000001E-3</v>
      </c>
      <c r="M43" s="373">
        <f t="shared" si="8"/>
        <v>5.0000000000000001E-3</v>
      </c>
      <c r="N43" s="373">
        <f t="shared" si="8"/>
        <v>5.0000000000000001E-3</v>
      </c>
      <c r="O43" s="373">
        <f t="shared" si="8"/>
        <v>5.0000000000000001E-3</v>
      </c>
      <c r="P43" s="373">
        <f t="shared" si="8"/>
        <v>5.0000000000000001E-3</v>
      </c>
      <c r="Q43" s="373">
        <f t="shared" si="8"/>
        <v>5.0000000000000001E-3</v>
      </c>
      <c r="R43" s="373">
        <f t="shared" si="8"/>
        <v>5.0000000000000001E-3</v>
      </c>
      <c r="S43" s="373">
        <f t="shared" si="8"/>
        <v>5.0000000000000001E-3</v>
      </c>
      <c r="T43" s="373">
        <f t="shared" si="8"/>
        <v>5.0000000000000001E-3</v>
      </c>
      <c r="U43" s="373">
        <f t="shared" si="8"/>
        <v>5.0000000000000001E-3</v>
      </c>
      <c r="V43" s="373">
        <f t="shared" si="8"/>
        <v>5.0000000000000001E-3</v>
      </c>
      <c r="W43" s="373">
        <f t="shared" si="8"/>
        <v>5.0000000000000001E-3</v>
      </c>
      <c r="X43" s="373">
        <f t="shared" si="8"/>
        <v>5.0000000000000001E-3</v>
      </c>
      <c r="Y43" s="373">
        <f t="shared" si="8"/>
        <v>5.0000000000000001E-3</v>
      </c>
      <c r="Z43" s="373">
        <f t="shared" si="8"/>
        <v>5.0000000000000001E-3</v>
      </c>
      <c r="AA43" s="373">
        <f t="shared" si="8"/>
        <v>5.0000000000000001E-3</v>
      </c>
      <c r="AB43" s="373">
        <f t="shared" si="8"/>
        <v>5.0000000000000001E-3</v>
      </c>
      <c r="AC43" s="373">
        <f t="shared" si="8"/>
        <v>5.0000000000000001E-3</v>
      </c>
      <c r="AD43" s="373">
        <f t="shared" si="8"/>
        <v>5.0000000000000001E-3</v>
      </c>
      <c r="AE43" s="373"/>
      <c r="AF43" s="331"/>
    </row>
    <row r="44" spans="1:32">
      <c r="A44" s="362" t="s">
        <v>266</v>
      </c>
      <c r="B44" s="362"/>
      <c r="C44" s="362"/>
      <c r="D44" s="343"/>
      <c r="E44" s="362"/>
      <c r="F44" s="371">
        <v>1</v>
      </c>
      <c r="G44" s="371">
        <f t="shared" ref="G44:AD44" si="9">F44*(1+$B6)</f>
        <v>1.0049999999999999</v>
      </c>
      <c r="H44" s="371">
        <f t="shared" si="9"/>
        <v>1.0100249999999997</v>
      </c>
      <c r="I44" s="371">
        <f t="shared" si="9"/>
        <v>1.0150751249999996</v>
      </c>
      <c r="J44" s="371">
        <f t="shared" si="9"/>
        <v>1.0201505006249996</v>
      </c>
      <c r="K44" s="371">
        <f t="shared" si="9"/>
        <v>1.0252512531281244</v>
      </c>
      <c r="L44" s="371">
        <f t="shared" si="9"/>
        <v>1.0303775093937648</v>
      </c>
      <c r="M44" s="371">
        <f t="shared" si="9"/>
        <v>1.0355293969407335</v>
      </c>
      <c r="N44" s="371">
        <f t="shared" si="9"/>
        <v>1.0407070439254371</v>
      </c>
      <c r="O44" s="371">
        <f t="shared" si="9"/>
        <v>1.0459105791450642</v>
      </c>
      <c r="P44" s="371">
        <f t="shared" si="9"/>
        <v>1.0511401320407894</v>
      </c>
      <c r="Q44" s="371">
        <f t="shared" si="9"/>
        <v>1.0563958327009932</v>
      </c>
      <c r="R44" s="371">
        <f t="shared" si="9"/>
        <v>1.0616778118644981</v>
      </c>
      <c r="S44" s="371">
        <f t="shared" si="9"/>
        <v>1.0669862009238205</v>
      </c>
      <c r="T44" s="371">
        <f t="shared" si="9"/>
        <v>1.0723211319284394</v>
      </c>
      <c r="U44" s="371">
        <f t="shared" si="9"/>
        <v>1.0776827375880815</v>
      </c>
      <c r="V44" s="371">
        <f t="shared" si="9"/>
        <v>1.0830711512760218</v>
      </c>
      <c r="W44" s="371">
        <f t="shared" si="9"/>
        <v>1.0884865070324019</v>
      </c>
      <c r="X44" s="371">
        <f t="shared" si="9"/>
        <v>1.0939289395675638</v>
      </c>
      <c r="Y44" s="371">
        <f t="shared" si="9"/>
        <v>1.0993985842654015</v>
      </c>
      <c r="Z44" s="371">
        <f t="shared" si="9"/>
        <v>1.1048955771867284</v>
      </c>
      <c r="AA44" s="371">
        <f t="shared" si="9"/>
        <v>1.1104200550726619</v>
      </c>
      <c r="AB44" s="371">
        <f t="shared" si="9"/>
        <v>1.1159721553480251</v>
      </c>
      <c r="AC44" s="371">
        <f t="shared" si="9"/>
        <v>1.1215520161247652</v>
      </c>
      <c r="AD44" s="371">
        <f t="shared" si="9"/>
        <v>1.1271597762053889</v>
      </c>
      <c r="AE44" s="371"/>
      <c r="AF44" s="331"/>
    </row>
    <row r="45" spans="1:32" ht="15.6">
      <c r="A45" s="358" t="s">
        <v>267</v>
      </c>
      <c r="B45" s="359"/>
      <c r="C45" s="359"/>
      <c r="D45" s="359"/>
      <c r="E45" s="360" t="s">
        <v>236</v>
      </c>
      <c r="F45" s="377">
        <f>F30+F36+F38+F40+D41</f>
        <v>1420446.2994931384</v>
      </c>
      <c r="G45" s="377">
        <f>G30+G36+G38+G40</f>
        <v>1395654.2994931384</v>
      </c>
      <c r="H45" s="377">
        <f t="shared" ref="H45:AD45" si="10">H30+H36+H38+H40</f>
        <v>1395654.2994931384</v>
      </c>
      <c r="I45" s="377">
        <f t="shared" si="10"/>
        <v>1395654.2994931384</v>
      </c>
      <c r="J45" s="377">
        <f t="shared" si="10"/>
        <v>1395654.2994931384</v>
      </c>
      <c r="K45" s="377">
        <f t="shared" si="10"/>
        <v>1395654.2994931384</v>
      </c>
      <c r="L45" s="377">
        <f t="shared" si="10"/>
        <v>1395654.2994931384</v>
      </c>
      <c r="M45" s="377">
        <f t="shared" si="10"/>
        <v>1395654.2994931384</v>
      </c>
      <c r="N45" s="377">
        <f t="shared" si="10"/>
        <v>1395654.2994931384</v>
      </c>
      <c r="O45" s="377">
        <f t="shared" si="10"/>
        <v>1395654.2994931384</v>
      </c>
      <c r="P45" s="377">
        <f t="shared" si="10"/>
        <v>1395654.2994931384</v>
      </c>
      <c r="Q45" s="377">
        <f t="shared" si="10"/>
        <v>1395654.2994931384</v>
      </c>
      <c r="R45" s="377">
        <f t="shared" si="10"/>
        <v>1395654.2994931384</v>
      </c>
      <c r="S45" s="377">
        <f t="shared" si="10"/>
        <v>1395654.2994931384</v>
      </c>
      <c r="T45" s="377">
        <f t="shared" si="10"/>
        <v>1395654.2994931384</v>
      </c>
      <c r="U45" s="377">
        <f t="shared" si="10"/>
        <v>1217952.1903792161</v>
      </c>
      <c r="V45" s="377">
        <f t="shared" si="10"/>
        <v>1217952.1903792161</v>
      </c>
      <c r="W45" s="377">
        <f t="shared" si="10"/>
        <v>1217952.1903792161</v>
      </c>
      <c r="X45" s="377">
        <f t="shared" si="10"/>
        <v>1217952.1903792161</v>
      </c>
      <c r="Y45" s="377">
        <f t="shared" si="10"/>
        <v>1217952.1903792161</v>
      </c>
      <c r="Z45" s="377">
        <f t="shared" si="10"/>
        <v>1217952.1903792161</v>
      </c>
      <c r="AA45" s="377">
        <f t="shared" si="10"/>
        <v>1217952.1903792161</v>
      </c>
      <c r="AB45" s="377">
        <f t="shared" si="10"/>
        <v>1217952.1903792161</v>
      </c>
      <c r="AC45" s="377">
        <f t="shared" si="10"/>
        <v>1217952.1903792161</v>
      </c>
      <c r="AD45" s="377">
        <f t="shared" si="10"/>
        <v>1217952.1903792161</v>
      </c>
      <c r="AE45" s="377">
        <f>SUM(F45:AD45)</f>
        <v>33139128.396189243</v>
      </c>
      <c r="AF45" s="361"/>
    </row>
    <row r="46" spans="1:32">
      <c r="A46" s="331"/>
      <c r="B46" s="331"/>
      <c r="C46" s="331"/>
      <c r="D46" s="331"/>
      <c r="E46" s="331"/>
      <c r="F46" s="331"/>
      <c r="G46" s="331"/>
      <c r="H46" s="331"/>
      <c r="I46" s="331"/>
      <c r="J46" s="331"/>
      <c r="K46" s="331"/>
      <c r="L46" s="331"/>
      <c r="M46" s="331"/>
      <c r="N46" s="331"/>
      <c r="O46" s="331"/>
      <c r="P46" s="331"/>
      <c r="Q46" s="331"/>
      <c r="R46" s="331"/>
      <c r="S46" s="331"/>
      <c r="T46" s="331"/>
      <c r="U46" s="331"/>
      <c r="V46" s="331"/>
      <c r="W46" s="331"/>
      <c r="X46" s="331"/>
      <c r="Y46" s="331"/>
      <c r="Z46" s="331"/>
      <c r="AA46" s="331"/>
      <c r="AB46" s="331"/>
      <c r="AC46" s="331"/>
      <c r="AD46" s="331"/>
      <c r="AE46" s="331"/>
      <c r="AF46" s="331"/>
    </row>
    <row r="47" spans="1:32">
      <c r="A47" s="331" t="s">
        <v>298</v>
      </c>
      <c r="B47" s="331"/>
      <c r="C47" s="331">
        <f>Calcolo!D175*Calcolo!D185</f>
        <v>615510.3211009173</v>
      </c>
      <c r="D47" s="331"/>
      <c r="E47" s="369" t="s">
        <v>236</v>
      </c>
      <c r="F47" s="331">
        <f>$C$47*F44</f>
        <v>615510.3211009173</v>
      </c>
      <c r="G47" s="331">
        <f t="shared" ref="G47:AD47" si="11">$C$47*G44</f>
        <v>618587.87270642177</v>
      </c>
      <c r="H47" s="331">
        <f t="shared" si="11"/>
        <v>621680.81206995377</v>
      </c>
      <c r="I47" s="331">
        <f t="shared" si="11"/>
        <v>624789.21613030357</v>
      </c>
      <c r="J47" s="331">
        <f t="shared" si="11"/>
        <v>627913.16221095505</v>
      </c>
      <c r="K47" s="331">
        <f t="shared" si="11"/>
        <v>631052.72802200972</v>
      </c>
      <c r="L47" s="331">
        <f t="shared" si="11"/>
        <v>634207.99166211963</v>
      </c>
      <c r="M47" s="331">
        <f t="shared" si="11"/>
        <v>637379.03162043018</v>
      </c>
      <c r="N47" s="331">
        <f t="shared" si="11"/>
        <v>640565.92677853222</v>
      </c>
      <c r="O47" s="331">
        <f t="shared" si="11"/>
        <v>643768.75641242485</v>
      </c>
      <c r="P47" s="331">
        <f t="shared" si="11"/>
        <v>646987.60019448691</v>
      </c>
      <c r="Q47" s="331">
        <f t="shared" si="11"/>
        <v>650222.53819545929</v>
      </c>
      <c r="R47" s="331">
        <f t="shared" si="11"/>
        <v>653473.65088643646</v>
      </c>
      <c r="S47" s="331">
        <f t="shared" si="11"/>
        <v>656741.01914086856</v>
      </c>
      <c r="T47" s="331">
        <f t="shared" si="11"/>
        <v>660024.72423657286</v>
      </c>
      <c r="U47" s="331">
        <f t="shared" si="11"/>
        <v>663324.84785775561</v>
      </c>
      <c r="V47" s="331">
        <f t="shared" si="11"/>
        <v>666641.47209704434</v>
      </c>
      <c r="W47" s="331">
        <f t="shared" si="11"/>
        <v>669974.67945752956</v>
      </c>
      <c r="X47" s="331">
        <f t="shared" si="11"/>
        <v>673324.55285481713</v>
      </c>
      <c r="Y47" s="331">
        <f t="shared" si="11"/>
        <v>676691.17561909114</v>
      </c>
      <c r="Z47" s="331">
        <f t="shared" si="11"/>
        <v>680074.63149718649</v>
      </c>
      <c r="AA47" s="331">
        <f t="shared" si="11"/>
        <v>683475.00465467246</v>
      </c>
      <c r="AB47" s="331">
        <f t="shared" si="11"/>
        <v>686892.37967794563</v>
      </c>
      <c r="AC47" s="331">
        <f t="shared" si="11"/>
        <v>690326.84157633537</v>
      </c>
      <c r="AD47" s="331">
        <f t="shared" si="11"/>
        <v>693778.47578421701</v>
      </c>
      <c r="AE47" s="331">
        <f>SUM(F47:AD47)</f>
        <v>16347409.412444491</v>
      </c>
      <c r="AF47" s="331"/>
    </row>
    <row r="48" spans="1:32">
      <c r="A48" s="331"/>
      <c r="B48" s="331"/>
      <c r="C48" s="331"/>
      <c r="D48" s="331"/>
      <c r="E48" s="331"/>
      <c r="F48" s="331"/>
      <c r="G48" s="331"/>
      <c r="H48" s="331"/>
      <c r="I48" s="331"/>
      <c r="J48" s="331"/>
      <c r="K48" s="331"/>
      <c r="L48" s="331"/>
      <c r="M48" s="331"/>
      <c r="N48" s="331"/>
      <c r="O48" s="331"/>
      <c r="P48" s="331"/>
      <c r="Q48" s="331"/>
      <c r="R48" s="331"/>
      <c r="S48" s="331"/>
      <c r="T48" s="331"/>
      <c r="U48" s="331"/>
      <c r="V48" s="331"/>
      <c r="W48" s="331"/>
      <c r="X48" s="331"/>
      <c r="Y48" s="331"/>
      <c r="Z48" s="331"/>
      <c r="AA48" s="331"/>
      <c r="AB48" s="331"/>
      <c r="AC48" s="331"/>
      <c r="AD48" s="331"/>
      <c r="AE48" s="331"/>
      <c r="AF48" s="331"/>
    </row>
    <row r="49" spans="1:32">
      <c r="A49" s="362" t="s">
        <v>295</v>
      </c>
      <c r="B49" s="343"/>
      <c r="C49" s="378">
        <f>Calcolo!G142*'Piano economico'!F26</f>
        <v>62106.75</v>
      </c>
      <c r="D49" s="400"/>
      <c r="E49" s="369" t="s">
        <v>236</v>
      </c>
      <c r="F49" s="365">
        <f t="shared" ref="F49:AD49" si="12">$C$49*F44</f>
        <v>62106.75</v>
      </c>
      <c r="G49" s="365">
        <f t="shared" si="12"/>
        <v>62417.283749999995</v>
      </c>
      <c r="H49" s="365">
        <f t="shared" si="12"/>
        <v>62729.370168749985</v>
      </c>
      <c r="I49" s="365">
        <f t="shared" si="12"/>
        <v>63043.017019593724</v>
      </c>
      <c r="J49" s="365">
        <f t="shared" si="12"/>
        <v>63358.232104691691</v>
      </c>
      <c r="K49" s="365">
        <f t="shared" si="12"/>
        <v>63675.023265215139</v>
      </c>
      <c r="L49" s="365">
        <f t="shared" si="12"/>
        <v>63993.398381541207</v>
      </c>
      <c r="M49" s="365">
        <f t="shared" si="12"/>
        <v>64313.365373448905</v>
      </c>
      <c r="N49" s="365">
        <f t="shared" si="12"/>
        <v>64634.932200316143</v>
      </c>
      <c r="O49" s="365">
        <f t="shared" si="12"/>
        <v>64958.106861317719</v>
      </c>
      <c r="P49" s="365">
        <f t="shared" si="12"/>
        <v>65282.897395624299</v>
      </c>
      <c r="Q49" s="365">
        <f t="shared" si="12"/>
        <v>65609.311882602415</v>
      </c>
      <c r="R49" s="365">
        <f t="shared" si="12"/>
        <v>65937.358442015407</v>
      </c>
      <c r="S49" s="365">
        <f t="shared" si="12"/>
        <v>66267.045234225487</v>
      </c>
      <c r="T49" s="365">
        <f t="shared" si="12"/>
        <v>66598.380460396598</v>
      </c>
      <c r="U49" s="365">
        <f t="shared" si="12"/>
        <v>66931.372362698588</v>
      </c>
      <c r="V49" s="365">
        <f t="shared" si="12"/>
        <v>67266.029224512065</v>
      </c>
      <c r="W49" s="365">
        <f t="shared" si="12"/>
        <v>67602.359370634629</v>
      </c>
      <c r="X49" s="365">
        <f t="shared" si="12"/>
        <v>67940.371167487785</v>
      </c>
      <c r="Y49" s="365">
        <f t="shared" si="12"/>
        <v>68280.073023325225</v>
      </c>
      <c r="Z49" s="365">
        <f t="shared" si="12"/>
        <v>68621.473388441838</v>
      </c>
      <c r="AA49" s="365">
        <f t="shared" si="12"/>
        <v>68964.580755384042</v>
      </c>
      <c r="AB49" s="365">
        <f t="shared" si="12"/>
        <v>69309.403659160962</v>
      </c>
      <c r="AC49" s="365">
        <f t="shared" si="12"/>
        <v>69655.950677456756</v>
      </c>
      <c r="AD49" s="365">
        <f t="shared" si="12"/>
        <v>70004.230430844036</v>
      </c>
      <c r="AE49" s="365">
        <f>SUM(F49:AD49)</f>
        <v>1649500.3165996845</v>
      </c>
      <c r="AF49" s="331"/>
    </row>
    <row r="50" spans="1:32">
      <c r="A50" s="362" t="s">
        <v>296</v>
      </c>
      <c r="B50" s="343"/>
      <c r="C50" s="378">
        <f>C49/2</f>
        <v>31053.375</v>
      </c>
      <c r="D50" s="379"/>
      <c r="E50" s="369" t="s">
        <v>236</v>
      </c>
      <c r="F50" s="365">
        <f>$C$50*F44</f>
        <v>31053.375</v>
      </c>
      <c r="G50" s="365">
        <f t="shared" ref="G50:AD50" si="13">$C$50*G44</f>
        <v>31208.641874999998</v>
      </c>
      <c r="H50" s="365">
        <f t="shared" si="13"/>
        <v>31364.685084374993</v>
      </c>
      <c r="I50" s="365">
        <f t="shared" si="13"/>
        <v>31521.508509796862</v>
      </c>
      <c r="J50" s="365">
        <f t="shared" si="13"/>
        <v>31679.116052345846</v>
      </c>
      <c r="K50" s="365">
        <f t="shared" si="13"/>
        <v>31837.511632607569</v>
      </c>
      <c r="L50" s="365">
        <f t="shared" si="13"/>
        <v>31996.699190770603</v>
      </c>
      <c r="M50" s="365">
        <f t="shared" si="13"/>
        <v>32156.682686724453</v>
      </c>
      <c r="N50" s="365">
        <f t="shared" si="13"/>
        <v>32317.466100158072</v>
      </c>
      <c r="O50" s="365">
        <f t="shared" si="13"/>
        <v>32479.05343065886</v>
      </c>
      <c r="P50" s="365">
        <f t="shared" si="13"/>
        <v>32641.448697812149</v>
      </c>
      <c r="Q50" s="365">
        <f t="shared" si="13"/>
        <v>32804.655941301207</v>
      </c>
      <c r="R50" s="365">
        <f t="shared" si="13"/>
        <v>32968.679221007704</v>
      </c>
      <c r="S50" s="365">
        <f t="shared" si="13"/>
        <v>33133.522617112743</v>
      </c>
      <c r="T50" s="365">
        <f t="shared" si="13"/>
        <v>33299.190230198299</v>
      </c>
      <c r="U50" s="365">
        <f t="shared" si="13"/>
        <v>33465.686181349294</v>
      </c>
      <c r="V50" s="365">
        <f t="shared" si="13"/>
        <v>33633.014612256033</v>
      </c>
      <c r="W50" s="365">
        <f t="shared" si="13"/>
        <v>33801.179685317315</v>
      </c>
      <c r="X50" s="365">
        <f t="shared" si="13"/>
        <v>33970.185583743892</v>
      </c>
      <c r="Y50" s="365">
        <f t="shared" si="13"/>
        <v>34140.036511662613</v>
      </c>
      <c r="Z50" s="365">
        <f t="shared" si="13"/>
        <v>34310.736694220919</v>
      </c>
      <c r="AA50" s="365">
        <f t="shared" si="13"/>
        <v>34482.290377692021</v>
      </c>
      <c r="AB50" s="365">
        <f t="shared" si="13"/>
        <v>34654.701829580481</v>
      </c>
      <c r="AC50" s="365">
        <f t="shared" si="13"/>
        <v>34827.975338728378</v>
      </c>
      <c r="AD50" s="365">
        <f t="shared" si="13"/>
        <v>35002.115215422018</v>
      </c>
      <c r="AE50" s="365">
        <f>SUM(F50:AD50)</f>
        <v>824750.15829984227</v>
      </c>
      <c r="AF50" s="331"/>
    </row>
    <row r="51" spans="1:32">
      <c r="A51" s="362" t="s">
        <v>268</v>
      </c>
      <c r="B51" s="343"/>
      <c r="C51" s="378">
        <v>5000</v>
      </c>
      <c r="D51" s="379"/>
      <c r="E51" s="369" t="s">
        <v>236</v>
      </c>
      <c r="F51" s="365">
        <f>$C$51*F44</f>
        <v>5000</v>
      </c>
      <c r="G51" s="365">
        <f t="shared" ref="G51:AD51" si="14">$C$51*G44</f>
        <v>5024.9999999999991</v>
      </c>
      <c r="H51" s="365">
        <f t="shared" si="14"/>
        <v>5050.1249999999991</v>
      </c>
      <c r="I51" s="365">
        <f t="shared" si="14"/>
        <v>5075.3756249999979</v>
      </c>
      <c r="J51" s="365">
        <f t="shared" si="14"/>
        <v>5100.7525031249979</v>
      </c>
      <c r="K51" s="365">
        <f t="shared" si="14"/>
        <v>5126.2562656406217</v>
      </c>
      <c r="L51" s="365">
        <f t="shared" si="14"/>
        <v>5151.8875469688237</v>
      </c>
      <c r="M51" s="365">
        <f t="shared" si="14"/>
        <v>5177.6469847036678</v>
      </c>
      <c r="N51" s="365">
        <f t="shared" si="14"/>
        <v>5203.5352196271851</v>
      </c>
      <c r="O51" s="365">
        <f t="shared" si="14"/>
        <v>5229.5528957253209</v>
      </c>
      <c r="P51" s="365">
        <f t="shared" si="14"/>
        <v>5255.7006602039473</v>
      </c>
      <c r="Q51" s="365">
        <f t="shared" si="14"/>
        <v>5281.979163504966</v>
      </c>
      <c r="R51" s="365">
        <f t="shared" si="14"/>
        <v>5308.3890593224905</v>
      </c>
      <c r="S51" s="365">
        <f t="shared" si="14"/>
        <v>5334.9310046191022</v>
      </c>
      <c r="T51" s="365">
        <f t="shared" si="14"/>
        <v>5361.6056596421968</v>
      </c>
      <c r="U51" s="365">
        <f t="shared" si="14"/>
        <v>5388.4136879404077</v>
      </c>
      <c r="V51" s="365">
        <f t="shared" si="14"/>
        <v>5415.3557563801087</v>
      </c>
      <c r="W51" s="365">
        <f t="shared" si="14"/>
        <v>5442.4325351620091</v>
      </c>
      <c r="X51" s="365">
        <f t="shared" si="14"/>
        <v>5469.644697837819</v>
      </c>
      <c r="Y51" s="365">
        <f t="shared" si="14"/>
        <v>5496.992921327007</v>
      </c>
      <c r="Z51" s="365">
        <f t="shared" si="14"/>
        <v>5524.477885933642</v>
      </c>
      <c r="AA51" s="365">
        <f t="shared" si="14"/>
        <v>5552.1002753633102</v>
      </c>
      <c r="AB51" s="365">
        <f t="shared" si="14"/>
        <v>5579.8607767401254</v>
      </c>
      <c r="AC51" s="365">
        <f t="shared" si="14"/>
        <v>5607.7600806238261</v>
      </c>
      <c r="AD51" s="365">
        <f t="shared" si="14"/>
        <v>5635.7988810269444</v>
      </c>
      <c r="AE51" s="365">
        <f>SUM(F51:AD51)</f>
        <v>132795.57508641851</v>
      </c>
      <c r="AF51" s="331"/>
    </row>
    <row r="52" spans="1:32">
      <c r="A52" s="362"/>
      <c r="B52" s="343"/>
      <c r="C52" s="378"/>
      <c r="D52" s="380"/>
      <c r="E52" s="369"/>
      <c r="F52" s="365"/>
      <c r="G52" s="365"/>
      <c r="H52" s="365"/>
      <c r="I52" s="365"/>
      <c r="J52" s="365"/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5"/>
      <c r="Z52" s="365"/>
      <c r="AA52" s="365"/>
      <c r="AB52" s="365"/>
      <c r="AC52" s="365"/>
      <c r="AD52" s="365"/>
      <c r="AE52" s="365"/>
      <c r="AF52" s="331"/>
    </row>
    <row r="53" spans="1:32" ht="15.6">
      <c r="A53" s="358" t="s">
        <v>269</v>
      </c>
      <c r="B53" s="359"/>
      <c r="C53" s="359"/>
      <c r="D53" s="359"/>
      <c r="E53" s="360" t="s">
        <v>236</v>
      </c>
      <c r="F53" s="377">
        <f>SUM(F47:F52)</f>
        <v>713670.4461009173</v>
      </c>
      <c r="G53" s="377">
        <f t="shared" ref="G53:AD53" si="15">SUM(G47:G52)</f>
        <v>717238.79833142168</v>
      </c>
      <c r="H53" s="377">
        <f t="shared" si="15"/>
        <v>720824.99232307868</v>
      </c>
      <c r="I53" s="377">
        <f t="shared" si="15"/>
        <v>724429.1172846941</v>
      </c>
      <c r="J53" s="377">
        <f t="shared" si="15"/>
        <v>728051.26287111756</v>
      </c>
      <c r="K53" s="377">
        <f t="shared" si="15"/>
        <v>731691.51918547298</v>
      </c>
      <c r="L53" s="377">
        <f t="shared" si="15"/>
        <v>735349.97678140039</v>
      </c>
      <c r="M53" s="377">
        <f t="shared" si="15"/>
        <v>739026.7266653073</v>
      </c>
      <c r="N53" s="377">
        <f t="shared" si="15"/>
        <v>742721.86029863358</v>
      </c>
      <c r="O53" s="377">
        <f t="shared" si="15"/>
        <v>746435.46960012685</v>
      </c>
      <c r="P53" s="377">
        <f t="shared" si="15"/>
        <v>750167.64694812731</v>
      </c>
      <c r="Q53" s="377">
        <f t="shared" si="15"/>
        <v>753918.48518286797</v>
      </c>
      <c r="R53" s="377">
        <f t="shared" si="15"/>
        <v>757688.0776087821</v>
      </c>
      <c r="S53" s="377">
        <f t="shared" si="15"/>
        <v>761476.51799682586</v>
      </c>
      <c r="T53" s="377">
        <f t="shared" si="15"/>
        <v>765283.90058680996</v>
      </c>
      <c r="U53" s="377">
        <f t="shared" si="15"/>
        <v>769110.32008974394</v>
      </c>
      <c r="V53" s="377">
        <f t="shared" si="15"/>
        <v>772955.87169019261</v>
      </c>
      <c r="W53" s="377">
        <f t="shared" si="15"/>
        <v>776820.65104864351</v>
      </c>
      <c r="X53" s="377">
        <f t="shared" si="15"/>
        <v>780704.75430388656</v>
      </c>
      <c r="Y53" s="377">
        <f t="shared" si="15"/>
        <v>784608.27807540598</v>
      </c>
      <c r="Z53" s="377">
        <f t="shared" si="15"/>
        <v>788531.31946578284</v>
      </c>
      <c r="AA53" s="377">
        <f t="shared" si="15"/>
        <v>792473.9760631118</v>
      </c>
      <c r="AB53" s="377">
        <f t="shared" si="15"/>
        <v>796436.34594342718</v>
      </c>
      <c r="AC53" s="377">
        <f t="shared" si="15"/>
        <v>800418.52767314436</v>
      </c>
      <c r="AD53" s="377">
        <f t="shared" si="15"/>
        <v>804420.62031150993</v>
      </c>
      <c r="AE53" s="377">
        <f>SUM(F53:AD53)</f>
        <v>18954455.462430432</v>
      </c>
      <c r="AF53" s="361"/>
    </row>
    <row r="54" spans="1:32">
      <c r="A54" s="331"/>
      <c r="B54" s="331"/>
      <c r="C54" s="331"/>
      <c r="D54" s="331"/>
      <c r="E54" s="331"/>
      <c r="F54" s="331"/>
      <c r="G54" s="331"/>
      <c r="H54" s="331"/>
      <c r="I54" s="331"/>
      <c r="J54" s="331"/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  <c r="AD54" s="331"/>
      <c r="AE54" s="331"/>
      <c r="AF54" s="331"/>
    </row>
    <row r="55" spans="1:32" ht="15.6">
      <c r="A55" s="358" t="s">
        <v>270</v>
      </c>
      <c r="B55" s="359"/>
      <c r="C55" s="359"/>
      <c r="D55" s="359"/>
      <c r="E55" s="360" t="s">
        <v>236</v>
      </c>
      <c r="F55" s="377">
        <f t="shared" ref="F55:AD55" si="16">F45-F53</f>
        <v>706775.85339222115</v>
      </c>
      <c r="G55" s="377">
        <f t="shared" si="16"/>
        <v>678415.50116171676</v>
      </c>
      <c r="H55" s="377">
        <f t="shared" si="16"/>
        <v>674829.30717005976</v>
      </c>
      <c r="I55" s="377">
        <f t="shared" si="16"/>
        <v>671225.18220844434</v>
      </c>
      <c r="J55" s="377">
        <f t="shared" si="16"/>
        <v>667603.03662202088</v>
      </c>
      <c r="K55" s="377">
        <f t="shared" si="16"/>
        <v>663962.78030766547</v>
      </c>
      <c r="L55" s="377">
        <f t="shared" si="16"/>
        <v>660304.32271173806</v>
      </c>
      <c r="M55" s="377">
        <f t="shared" si="16"/>
        <v>656627.57282783114</v>
      </c>
      <c r="N55" s="377">
        <f t="shared" si="16"/>
        <v>652932.43919450487</v>
      </c>
      <c r="O55" s="377">
        <f t="shared" si="16"/>
        <v>649218.8298930116</v>
      </c>
      <c r="P55" s="377">
        <f t="shared" si="16"/>
        <v>645486.65254501114</v>
      </c>
      <c r="Q55" s="377">
        <f t="shared" si="16"/>
        <v>641735.81431027048</v>
      </c>
      <c r="R55" s="377">
        <f t="shared" si="16"/>
        <v>637966.22188435635</v>
      </c>
      <c r="S55" s="377">
        <f t="shared" si="16"/>
        <v>634177.78149631259</v>
      </c>
      <c r="T55" s="377">
        <f t="shared" si="16"/>
        <v>630370.39890632848</v>
      </c>
      <c r="U55" s="377">
        <f t="shared" si="16"/>
        <v>448841.87028947216</v>
      </c>
      <c r="V55" s="377">
        <f t="shared" si="16"/>
        <v>444996.31868902349</v>
      </c>
      <c r="W55" s="377">
        <f t="shared" si="16"/>
        <v>441131.53933057259</v>
      </c>
      <c r="X55" s="377">
        <f t="shared" si="16"/>
        <v>437247.43607532955</v>
      </c>
      <c r="Y55" s="377">
        <f t="shared" si="16"/>
        <v>433343.91230381012</v>
      </c>
      <c r="Z55" s="377">
        <f t="shared" si="16"/>
        <v>429420.87091343326</v>
      </c>
      <c r="AA55" s="377">
        <f t="shared" si="16"/>
        <v>425478.21431610431</v>
      </c>
      <c r="AB55" s="377">
        <f t="shared" si="16"/>
        <v>421515.84443578892</v>
      </c>
      <c r="AC55" s="377">
        <f t="shared" si="16"/>
        <v>417533.66270607174</v>
      </c>
      <c r="AD55" s="377">
        <f t="shared" si="16"/>
        <v>413531.57006770617</v>
      </c>
      <c r="AE55" s="377">
        <f>SUM(F55:AD55)</f>
        <v>14184672.933758803</v>
      </c>
      <c r="AF55" s="361"/>
    </row>
    <row r="56" spans="1:32">
      <c r="A56" s="331"/>
      <c r="B56" s="331"/>
      <c r="C56" s="331"/>
      <c r="D56" s="331"/>
      <c r="E56" s="331"/>
      <c r="F56" s="331"/>
      <c r="G56" s="331"/>
      <c r="H56" s="331"/>
      <c r="I56" s="331"/>
      <c r="J56" s="331"/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331"/>
      <c r="AD56" s="331"/>
      <c r="AE56" s="331"/>
      <c r="AF56" s="331"/>
    </row>
    <row r="57" spans="1:32">
      <c r="A57" s="362" t="s">
        <v>271</v>
      </c>
      <c r="B57" s="362"/>
      <c r="C57" s="362"/>
      <c r="D57" s="362"/>
      <c r="E57" s="369" t="s">
        <v>236</v>
      </c>
      <c r="F57" s="365">
        <f>$H$3</f>
        <v>-201108.47556831851</v>
      </c>
      <c r="G57" s="365">
        <f t="shared" ref="G57:T57" si="17">$H$3</f>
        <v>-201108.47556831851</v>
      </c>
      <c r="H57" s="365">
        <f t="shared" si="17"/>
        <v>-201108.47556831851</v>
      </c>
      <c r="I57" s="365">
        <f t="shared" si="17"/>
        <v>-201108.47556831851</v>
      </c>
      <c r="J57" s="365">
        <f t="shared" si="17"/>
        <v>-201108.47556831851</v>
      </c>
      <c r="K57" s="365">
        <f t="shared" si="17"/>
        <v>-201108.47556831851</v>
      </c>
      <c r="L57" s="365">
        <f t="shared" si="17"/>
        <v>-201108.47556831851</v>
      </c>
      <c r="M57" s="365">
        <f t="shared" si="17"/>
        <v>-201108.47556831851</v>
      </c>
      <c r="N57" s="365">
        <f t="shared" si="17"/>
        <v>-201108.47556831851</v>
      </c>
      <c r="O57" s="365">
        <f t="shared" si="17"/>
        <v>-201108.47556831851</v>
      </c>
      <c r="P57" s="365">
        <f t="shared" si="17"/>
        <v>-201108.47556831851</v>
      </c>
      <c r="Q57" s="365">
        <f t="shared" si="17"/>
        <v>-201108.47556831851</v>
      </c>
      <c r="R57" s="365">
        <f t="shared" si="17"/>
        <v>-201108.47556831851</v>
      </c>
      <c r="S57" s="365">
        <f t="shared" si="17"/>
        <v>-201108.47556831851</v>
      </c>
      <c r="T57" s="365">
        <f t="shared" si="17"/>
        <v>-201108.47556831851</v>
      </c>
      <c r="U57" s="365">
        <v>0</v>
      </c>
      <c r="V57" s="365">
        <v>0</v>
      </c>
      <c r="W57" s="365">
        <v>0</v>
      </c>
      <c r="X57" s="365">
        <v>0</v>
      </c>
      <c r="Y57" s="365">
        <v>0</v>
      </c>
      <c r="Z57" s="365">
        <v>0</v>
      </c>
      <c r="AA57" s="365">
        <v>0</v>
      </c>
      <c r="AB57" s="365">
        <v>0</v>
      </c>
      <c r="AC57" s="365">
        <v>0</v>
      </c>
      <c r="AD57" s="365">
        <v>0</v>
      </c>
      <c r="AE57" s="365"/>
      <c r="AF57" s="331"/>
    </row>
    <row r="58" spans="1:32">
      <c r="A58" s="362" t="s">
        <v>272</v>
      </c>
      <c r="B58" s="362"/>
      <c r="C58" s="362"/>
      <c r="D58" s="362"/>
      <c r="E58" s="369" t="s">
        <v>236</v>
      </c>
      <c r="F58" s="365">
        <f>-$B$10/$D$10</f>
        <v>-99600</v>
      </c>
      <c r="G58" s="365">
        <f t="shared" ref="G58:AD58" si="18">-$B$10/$D$10</f>
        <v>-99600</v>
      </c>
      <c r="H58" s="365">
        <f t="shared" si="18"/>
        <v>-99600</v>
      </c>
      <c r="I58" s="365">
        <f t="shared" si="18"/>
        <v>-99600</v>
      </c>
      <c r="J58" s="365">
        <f t="shared" si="18"/>
        <v>-99600</v>
      </c>
      <c r="K58" s="365">
        <f t="shared" si="18"/>
        <v>-99600</v>
      </c>
      <c r="L58" s="365">
        <f t="shared" si="18"/>
        <v>-99600</v>
      </c>
      <c r="M58" s="365">
        <f t="shared" si="18"/>
        <v>-99600</v>
      </c>
      <c r="N58" s="365">
        <f t="shared" si="18"/>
        <v>-99600</v>
      </c>
      <c r="O58" s="365">
        <f t="shared" si="18"/>
        <v>-99600</v>
      </c>
      <c r="P58" s="365">
        <f t="shared" si="18"/>
        <v>-99600</v>
      </c>
      <c r="Q58" s="365">
        <f t="shared" si="18"/>
        <v>-99600</v>
      </c>
      <c r="R58" s="365">
        <f t="shared" si="18"/>
        <v>-99600</v>
      </c>
      <c r="S58" s="365">
        <f t="shared" si="18"/>
        <v>-99600</v>
      </c>
      <c r="T58" s="365">
        <f t="shared" si="18"/>
        <v>-99600</v>
      </c>
      <c r="U58" s="365">
        <f t="shared" si="18"/>
        <v>-99600</v>
      </c>
      <c r="V58" s="365">
        <f t="shared" si="18"/>
        <v>-99600</v>
      </c>
      <c r="W58" s="365">
        <f t="shared" si="18"/>
        <v>-99600</v>
      </c>
      <c r="X58" s="365">
        <f t="shared" si="18"/>
        <v>-99600</v>
      </c>
      <c r="Y58" s="365">
        <f t="shared" si="18"/>
        <v>-99600</v>
      </c>
      <c r="Z58" s="365">
        <f t="shared" si="18"/>
        <v>-99600</v>
      </c>
      <c r="AA58" s="365">
        <f t="shared" si="18"/>
        <v>-99600</v>
      </c>
      <c r="AB58" s="365">
        <f t="shared" si="18"/>
        <v>-99600</v>
      </c>
      <c r="AC58" s="365">
        <f t="shared" si="18"/>
        <v>-99600</v>
      </c>
      <c r="AD58" s="365">
        <f t="shared" si="18"/>
        <v>-99600</v>
      </c>
      <c r="AE58" s="365"/>
      <c r="AF58" s="331"/>
    </row>
    <row r="59" spans="1:32">
      <c r="A59" s="362" t="s">
        <v>273</v>
      </c>
      <c r="B59" s="362"/>
      <c r="C59" s="362"/>
      <c r="D59" s="362"/>
      <c r="E59" s="369" t="s">
        <v>236</v>
      </c>
      <c r="F59" s="365">
        <v>0</v>
      </c>
      <c r="G59" s="365">
        <v>0</v>
      </c>
      <c r="H59" s="365">
        <v>0</v>
      </c>
      <c r="I59" s="365">
        <v>0</v>
      </c>
      <c r="J59" s="365">
        <v>0</v>
      </c>
      <c r="K59" s="365">
        <v>0</v>
      </c>
      <c r="L59" s="365">
        <v>0</v>
      </c>
      <c r="M59" s="365">
        <v>0</v>
      </c>
      <c r="N59" s="365">
        <v>0</v>
      </c>
      <c r="O59" s="365">
        <v>0</v>
      </c>
      <c r="P59" s="365">
        <v>0</v>
      </c>
      <c r="Q59" s="365">
        <v>0</v>
      </c>
      <c r="R59" s="365">
        <v>0</v>
      </c>
      <c r="S59" s="365">
        <v>0</v>
      </c>
      <c r="T59" s="365">
        <v>0</v>
      </c>
      <c r="U59" s="365">
        <v>0</v>
      </c>
      <c r="V59" s="365">
        <v>0</v>
      </c>
      <c r="W59" s="365">
        <v>0</v>
      </c>
      <c r="X59" s="365">
        <v>0</v>
      </c>
      <c r="Y59" s="365">
        <v>0</v>
      </c>
      <c r="Z59" s="365">
        <v>0</v>
      </c>
      <c r="AA59" s="365">
        <v>0</v>
      </c>
      <c r="AB59" s="365">
        <v>0</v>
      </c>
      <c r="AC59" s="365">
        <v>0</v>
      </c>
      <c r="AD59" s="365">
        <v>0</v>
      </c>
      <c r="AE59" s="365"/>
      <c r="AF59" s="331"/>
    </row>
    <row r="60" spans="1:32">
      <c r="A60" s="331"/>
      <c r="B60" s="331"/>
      <c r="C60" s="331"/>
      <c r="D60" s="331"/>
      <c r="E60" s="331"/>
      <c r="F60" s="331"/>
      <c r="G60" s="331"/>
      <c r="H60" s="331"/>
      <c r="I60" s="331"/>
      <c r="J60" s="331"/>
      <c r="K60" s="331"/>
      <c r="L60" s="331"/>
      <c r="M60" s="331"/>
      <c r="N60" s="331"/>
      <c r="O60" s="331"/>
      <c r="P60" s="331"/>
      <c r="Q60" s="331"/>
      <c r="R60" s="331"/>
      <c r="S60" s="331"/>
      <c r="T60" s="331"/>
      <c r="U60" s="331"/>
      <c r="V60" s="331"/>
      <c r="W60" s="331"/>
      <c r="X60" s="331"/>
      <c r="Y60" s="331"/>
      <c r="Z60" s="331"/>
      <c r="AA60" s="331"/>
      <c r="AB60" s="331"/>
      <c r="AC60" s="331"/>
      <c r="AD60" s="331"/>
      <c r="AE60" s="331"/>
      <c r="AF60" s="331"/>
    </row>
    <row r="61" spans="1:32" ht="15.6">
      <c r="A61" s="358" t="s">
        <v>274</v>
      </c>
      <c r="B61" s="359"/>
      <c r="C61" s="359"/>
      <c r="D61" s="359"/>
      <c r="E61" s="360" t="s">
        <v>236</v>
      </c>
      <c r="F61" s="377">
        <f t="shared" ref="F61:AD61" si="19">F55+F57+F58+F59</f>
        <v>406067.37782390264</v>
      </c>
      <c r="G61" s="377">
        <f t="shared" si="19"/>
        <v>377707.02559339826</v>
      </c>
      <c r="H61" s="377">
        <f t="shared" si="19"/>
        <v>374120.83160174126</v>
      </c>
      <c r="I61" s="377">
        <f t="shared" si="19"/>
        <v>370516.70664012583</v>
      </c>
      <c r="J61" s="377">
        <f t="shared" si="19"/>
        <v>366894.56105370237</v>
      </c>
      <c r="K61" s="377">
        <f t="shared" si="19"/>
        <v>363254.30473934696</v>
      </c>
      <c r="L61" s="377">
        <f t="shared" si="19"/>
        <v>359595.84714341955</v>
      </c>
      <c r="M61" s="377">
        <f t="shared" si="19"/>
        <v>355919.09725951264</v>
      </c>
      <c r="N61" s="377">
        <f t="shared" si="19"/>
        <v>352223.96362618636</v>
      </c>
      <c r="O61" s="377">
        <f t="shared" si="19"/>
        <v>348510.35432469309</v>
      </c>
      <c r="P61" s="377">
        <f t="shared" si="19"/>
        <v>344778.17697669263</v>
      </c>
      <c r="Q61" s="377">
        <f t="shared" si="19"/>
        <v>341027.33874195197</v>
      </c>
      <c r="R61" s="377">
        <f t="shared" si="19"/>
        <v>337257.74631603784</v>
      </c>
      <c r="S61" s="377">
        <f t="shared" si="19"/>
        <v>333469.30592799408</v>
      </c>
      <c r="T61" s="377">
        <f t="shared" si="19"/>
        <v>329661.92333800998</v>
      </c>
      <c r="U61" s="377">
        <f t="shared" si="19"/>
        <v>349241.87028947216</v>
      </c>
      <c r="V61" s="377">
        <f t="shared" si="19"/>
        <v>345396.31868902349</v>
      </c>
      <c r="W61" s="377">
        <f t="shared" si="19"/>
        <v>341531.53933057259</v>
      </c>
      <c r="X61" s="377">
        <f t="shared" si="19"/>
        <v>337647.43607532955</v>
      </c>
      <c r="Y61" s="377">
        <f t="shared" si="19"/>
        <v>333743.91230381012</v>
      </c>
      <c r="Z61" s="377">
        <f t="shared" si="19"/>
        <v>329820.87091343326</v>
      </c>
      <c r="AA61" s="377">
        <f t="shared" si="19"/>
        <v>325878.21431610431</v>
      </c>
      <c r="AB61" s="377">
        <f t="shared" si="19"/>
        <v>321915.84443578892</v>
      </c>
      <c r="AC61" s="377">
        <f t="shared" si="19"/>
        <v>317933.66270607174</v>
      </c>
      <c r="AD61" s="377">
        <f t="shared" si="19"/>
        <v>313931.57006770617</v>
      </c>
      <c r="AE61" s="377">
        <f>SUM(F61:AD61)</f>
        <v>8678045.8002340272</v>
      </c>
      <c r="AF61" s="361"/>
    </row>
    <row r="62" spans="1:32">
      <c r="A62" s="331"/>
      <c r="B62" s="331"/>
      <c r="C62" s="331"/>
      <c r="D62" s="331"/>
      <c r="E62" s="331"/>
      <c r="F62" s="331"/>
      <c r="G62" s="331"/>
      <c r="H62" s="331"/>
      <c r="I62" s="331"/>
      <c r="J62" s="331"/>
      <c r="K62" s="331"/>
      <c r="L62" s="331"/>
      <c r="M62" s="331"/>
      <c r="N62" s="331"/>
      <c r="O62" s="331"/>
      <c r="P62" s="331"/>
      <c r="Q62" s="331"/>
      <c r="R62" s="331"/>
      <c r="S62" s="331"/>
      <c r="T62" s="331"/>
      <c r="U62" s="331"/>
      <c r="V62" s="331"/>
      <c r="W62" s="331"/>
      <c r="X62" s="331"/>
      <c r="Y62" s="331"/>
      <c r="Z62" s="331"/>
      <c r="AA62" s="331"/>
      <c r="AB62" s="331"/>
      <c r="AC62" s="331"/>
      <c r="AD62" s="331"/>
      <c r="AE62" s="331"/>
      <c r="AF62" s="331"/>
    </row>
    <row r="63" spans="1:32">
      <c r="A63" s="362" t="s">
        <v>275</v>
      </c>
      <c r="B63" s="362"/>
      <c r="C63" s="362"/>
      <c r="D63" s="362"/>
      <c r="E63" s="364" t="s">
        <v>236</v>
      </c>
      <c r="F63" s="365">
        <f t="shared" ref="F63:AD63" si="20">F61*$H$8</f>
        <v>97456.170677736634</v>
      </c>
      <c r="G63" s="365">
        <f t="shared" si="20"/>
        <v>90649.68614241558</v>
      </c>
      <c r="H63" s="365">
        <f t="shared" si="20"/>
        <v>89788.999584417892</v>
      </c>
      <c r="I63" s="365">
        <f t="shared" si="20"/>
        <v>88924.009593630195</v>
      </c>
      <c r="J63" s="365">
        <f t="shared" si="20"/>
        <v>88054.69465288856</v>
      </c>
      <c r="K63" s="365">
        <f t="shared" si="20"/>
        <v>87181.033137443272</v>
      </c>
      <c r="L63" s="365">
        <f t="shared" si="20"/>
        <v>86303.003314420683</v>
      </c>
      <c r="M63" s="365">
        <f t="shared" si="20"/>
        <v>85420.583342283033</v>
      </c>
      <c r="N63" s="365">
        <f t="shared" si="20"/>
        <v>84533.751270284731</v>
      </c>
      <c r="O63" s="365">
        <f t="shared" si="20"/>
        <v>83642.485037926337</v>
      </c>
      <c r="P63" s="365">
        <f t="shared" si="20"/>
        <v>82746.762474406234</v>
      </c>
      <c r="Q63" s="365">
        <f t="shared" si="20"/>
        <v>81846.561298068467</v>
      </c>
      <c r="R63" s="365">
        <f t="shared" si="20"/>
        <v>80941.859115849074</v>
      </c>
      <c r="S63" s="365">
        <f t="shared" si="20"/>
        <v>80032.633422718573</v>
      </c>
      <c r="T63" s="365">
        <f t="shared" si="20"/>
        <v>79118.861601122393</v>
      </c>
      <c r="U63" s="365">
        <f t="shared" si="20"/>
        <v>83818.048869473321</v>
      </c>
      <c r="V63" s="365">
        <f t="shared" si="20"/>
        <v>82895.116485365637</v>
      </c>
      <c r="W63" s="365">
        <f t="shared" si="20"/>
        <v>81967.569439337414</v>
      </c>
      <c r="X63" s="365">
        <f t="shared" si="20"/>
        <v>81035.384658079085</v>
      </c>
      <c r="Y63" s="365">
        <f t="shared" si="20"/>
        <v>80098.53895291443</v>
      </c>
      <c r="Z63" s="365">
        <f t="shared" si="20"/>
        <v>79157.009019223973</v>
      </c>
      <c r="AA63" s="365">
        <f t="shared" si="20"/>
        <v>78210.771435865026</v>
      </c>
      <c r="AB63" s="365">
        <f t="shared" si="20"/>
        <v>77259.802664589341</v>
      </c>
      <c r="AC63" s="365">
        <f t="shared" si="20"/>
        <v>76304.079049457214</v>
      </c>
      <c r="AD63" s="365">
        <f t="shared" si="20"/>
        <v>75343.576816249479</v>
      </c>
      <c r="AE63" s="365">
        <f>SUM(F63:AD63)</f>
        <v>2082730.992056167</v>
      </c>
      <c r="AF63" s="331"/>
    </row>
    <row r="64" spans="1:32">
      <c r="A64" s="362" t="s">
        <v>276</v>
      </c>
      <c r="B64" s="362"/>
      <c r="C64" s="362"/>
      <c r="D64" s="362"/>
      <c r="E64" s="364" t="s">
        <v>236</v>
      </c>
      <c r="F64" s="365">
        <f t="shared" ref="F64:AD64" si="21">F61*$H$9</f>
        <v>15836.627735132202</v>
      </c>
      <c r="G64" s="365">
        <f t="shared" si="21"/>
        <v>14730.573998142532</v>
      </c>
      <c r="H64" s="365">
        <f t="shared" si="21"/>
        <v>14590.71243246791</v>
      </c>
      <c r="I64" s="365">
        <f t="shared" si="21"/>
        <v>14450.151558964908</v>
      </c>
      <c r="J64" s="365">
        <f t="shared" si="21"/>
        <v>14308.887881094393</v>
      </c>
      <c r="K64" s="365">
        <f t="shared" si="21"/>
        <v>14166.917884834531</v>
      </c>
      <c r="L64" s="365">
        <f t="shared" si="21"/>
        <v>14024.238038593363</v>
      </c>
      <c r="M64" s="365">
        <f t="shared" si="21"/>
        <v>13880.844793120992</v>
      </c>
      <c r="N64" s="365">
        <f t="shared" si="21"/>
        <v>13736.734581421268</v>
      </c>
      <c r="O64" s="365">
        <f t="shared" si="21"/>
        <v>13591.903818663031</v>
      </c>
      <c r="P64" s="365">
        <f t="shared" si="21"/>
        <v>13446.348902091013</v>
      </c>
      <c r="Q64" s="365">
        <f t="shared" si="21"/>
        <v>13300.066210936127</v>
      </c>
      <c r="R64" s="365">
        <f t="shared" si="21"/>
        <v>13153.052106325476</v>
      </c>
      <c r="S64" s="365">
        <f t="shared" si="21"/>
        <v>13005.302931191769</v>
      </c>
      <c r="T64" s="365">
        <f t="shared" si="21"/>
        <v>12856.815010182389</v>
      </c>
      <c r="U64" s="365">
        <f t="shared" si="21"/>
        <v>13620.432941289415</v>
      </c>
      <c r="V64" s="365">
        <f t="shared" si="21"/>
        <v>13470.456428871916</v>
      </c>
      <c r="W64" s="365">
        <f t="shared" si="21"/>
        <v>13319.730033892331</v>
      </c>
      <c r="X64" s="365">
        <f t="shared" si="21"/>
        <v>13168.250006937853</v>
      </c>
      <c r="Y64" s="365">
        <f t="shared" si="21"/>
        <v>13016.012579848595</v>
      </c>
      <c r="Z64" s="365">
        <f t="shared" si="21"/>
        <v>12863.013965623897</v>
      </c>
      <c r="AA64" s="365">
        <f t="shared" si="21"/>
        <v>12709.250358328069</v>
      </c>
      <c r="AB64" s="365">
        <f t="shared" si="21"/>
        <v>12554.717932995767</v>
      </c>
      <c r="AC64" s="365">
        <f t="shared" si="21"/>
        <v>12399.412845536797</v>
      </c>
      <c r="AD64" s="365">
        <f t="shared" si="21"/>
        <v>12243.331232640541</v>
      </c>
      <c r="AE64" s="365">
        <f>SUM(F64:AD64)</f>
        <v>338443.78620912705</v>
      </c>
      <c r="AF64" s="331"/>
    </row>
    <row r="65" spans="1:32" ht="16.8">
      <c r="A65" s="362" t="s">
        <v>248</v>
      </c>
      <c r="B65" s="362"/>
      <c r="C65" s="374"/>
      <c r="D65" s="381">
        <f>+B7/2.1*0.02*1.05*65*H10*0.05</f>
        <v>1715.61</v>
      </c>
      <c r="E65" s="364" t="s">
        <v>236</v>
      </c>
      <c r="F65" s="365">
        <f t="shared" ref="F65:AD65" si="22">$D$65</f>
        <v>1715.61</v>
      </c>
      <c r="G65" s="365">
        <f t="shared" si="22"/>
        <v>1715.61</v>
      </c>
      <c r="H65" s="365">
        <f t="shared" si="22"/>
        <v>1715.61</v>
      </c>
      <c r="I65" s="365">
        <f t="shared" si="22"/>
        <v>1715.61</v>
      </c>
      <c r="J65" s="365">
        <f t="shared" si="22"/>
        <v>1715.61</v>
      </c>
      <c r="K65" s="365">
        <f t="shared" si="22"/>
        <v>1715.61</v>
      </c>
      <c r="L65" s="365">
        <f t="shared" si="22"/>
        <v>1715.61</v>
      </c>
      <c r="M65" s="365">
        <f t="shared" si="22"/>
        <v>1715.61</v>
      </c>
      <c r="N65" s="365">
        <f t="shared" si="22"/>
        <v>1715.61</v>
      </c>
      <c r="O65" s="365">
        <f t="shared" si="22"/>
        <v>1715.61</v>
      </c>
      <c r="P65" s="365">
        <f t="shared" si="22"/>
        <v>1715.61</v>
      </c>
      <c r="Q65" s="365">
        <f t="shared" si="22"/>
        <v>1715.61</v>
      </c>
      <c r="R65" s="365">
        <f t="shared" si="22"/>
        <v>1715.61</v>
      </c>
      <c r="S65" s="365">
        <f t="shared" si="22"/>
        <v>1715.61</v>
      </c>
      <c r="T65" s="365">
        <f t="shared" si="22"/>
        <v>1715.61</v>
      </c>
      <c r="U65" s="365">
        <f t="shared" si="22"/>
        <v>1715.61</v>
      </c>
      <c r="V65" s="365">
        <f t="shared" si="22"/>
        <v>1715.61</v>
      </c>
      <c r="W65" s="365">
        <f t="shared" si="22"/>
        <v>1715.61</v>
      </c>
      <c r="X65" s="365">
        <f t="shared" si="22"/>
        <v>1715.61</v>
      </c>
      <c r="Y65" s="365">
        <f t="shared" si="22"/>
        <v>1715.61</v>
      </c>
      <c r="Z65" s="365">
        <f t="shared" si="22"/>
        <v>1715.61</v>
      </c>
      <c r="AA65" s="365">
        <f t="shared" si="22"/>
        <v>1715.61</v>
      </c>
      <c r="AB65" s="365">
        <f t="shared" si="22"/>
        <v>1715.61</v>
      </c>
      <c r="AC65" s="365">
        <f t="shared" si="22"/>
        <v>1715.61</v>
      </c>
      <c r="AD65" s="365">
        <f t="shared" si="22"/>
        <v>1715.61</v>
      </c>
      <c r="AE65" s="365">
        <f>SUM(F65:AD65)</f>
        <v>42890.250000000007</v>
      </c>
      <c r="AF65" s="331"/>
    </row>
    <row r="66" spans="1:32">
      <c r="A66" s="331"/>
      <c r="B66" s="331"/>
      <c r="C66" s="331"/>
      <c r="D66" s="331"/>
      <c r="E66" s="331"/>
      <c r="F66" s="331"/>
      <c r="G66" s="331"/>
      <c r="H66" s="331"/>
      <c r="I66" s="331"/>
      <c r="J66" s="331"/>
      <c r="K66" s="331"/>
      <c r="L66" s="331"/>
      <c r="M66" s="331"/>
      <c r="N66" s="331"/>
      <c r="O66" s="331"/>
      <c r="P66" s="331"/>
      <c r="Q66" s="331"/>
      <c r="R66" s="331"/>
      <c r="S66" s="331"/>
      <c r="T66" s="331"/>
      <c r="U66" s="331"/>
      <c r="V66" s="331"/>
      <c r="W66" s="331"/>
      <c r="X66" s="331"/>
      <c r="Y66" s="331"/>
      <c r="Z66" s="331"/>
      <c r="AA66" s="331"/>
      <c r="AB66" s="331"/>
      <c r="AC66" s="331"/>
      <c r="AD66" s="331"/>
      <c r="AE66" s="331"/>
      <c r="AF66" s="331"/>
    </row>
    <row r="67" spans="1:32" ht="15.6">
      <c r="A67" s="358" t="s">
        <v>277</v>
      </c>
      <c r="B67" s="359"/>
      <c r="C67" s="359"/>
      <c r="D67" s="359"/>
      <c r="E67" s="382">
        <f>-B10</f>
        <v>-2490000</v>
      </c>
      <c r="F67" s="377">
        <f t="shared" ref="F67:AD67" si="23">F61-F63-F64-F65-F58</f>
        <v>390658.96941103385</v>
      </c>
      <c r="G67" s="377">
        <f t="shared" si="23"/>
        <v>370211.15545284015</v>
      </c>
      <c r="H67" s="377">
        <f t="shared" si="23"/>
        <v>367625.50958485546</v>
      </c>
      <c r="I67" s="377">
        <f t="shared" si="23"/>
        <v>365026.93548753072</v>
      </c>
      <c r="J67" s="377">
        <f t="shared" si="23"/>
        <v>362415.3685197194</v>
      </c>
      <c r="K67" s="377">
        <f t="shared" si="23"/>
        <v>359790.74371706921</v>
      </c>
      <c r="L67" s="377">
        <f t="shared" si="23"/>
        <v>357152.99579040555</v>
      </c>
      <c r="M67" s="377">
        <f t="shared" si="23"/>
        <v>354502.05912410864</v>
      </c>
      <c r="N67" s="377">
        <f t="shared" si="23"/>
        <v>351837.86777448037</v>
      </c>
      <c r="O67" s="377">
        <f t="shared" si="23"/>
        <v>349160.35546810372</v>
      </c>
      <c r="P67" s="377">
        <f t="shared" si="23"/>
        <v>346469.45560019545</v>
      </c>
      <c r="Q67" s="377">
        <f t="shared" si="23"/>
        <v>343765.10123294743</v>
      </c>
      <c r="R67" s="377">
        <f t="shared" si="23"/>
        <v>341047.22509386332</v>
      </c>
      <c r="S67" s="377">
        <f t="shared" si="23"/>
        <v>338315.75957408373</v>
      </c>
      <c r="T67" s="377">
        <f t="shared" si="23"/>
        <v>335570.63672670524</v>
      </c>
      <c r="U67" s="377">
        <f t="shared" si="23"/>
        <v>349687.7784787094</v>
      </c>
      <c r="V67" s="377">
        <f t="shared" si="23"/>
        <v>346915.13577478589</v>
      </c>
      <c r="W67" s="377">
        <f t="shared" si="23"/>
        <v>344128.62985734286</v>
      </c>
      <c r="X67" s="377">
        <f t="shared" si="23"/>
        <v>341328.19141031266</v>
      </c>
      <c r="Y67" s="377">
        <f t="shared" si="23"/>
        <v>338513.75077104714</v>
      </c>
      <c r="Z67" s="377">
        <f t="shared" si="23"/>
        <v>335685.23792858538</v>
      </c>
      <c r="AA67" s="377">
        <f t="shared" si="23"/>
        <v>332842.58252191124</v>
      </c>
      <c r="AB67" s="377">
        <f t="shared" si="23"/>
        <v>329985.71383820381</v>
      </c>
      <c r="AC67" s="377">
        <f t="shared" si="23"/>
        <v>327114.56081107771</v>
      </c>
      <c r="AD67" s="377">
        <f t="shared" si="23"/>
        <v>324229.05201881618</v>
      </c>
      <c r="AE67" s="377">
        <f>SUM(E67:AD67)</f>
        <v>6213980.7719687345</v>
      </c>
      <c r="AF67" s="361"/>
    </row>
    <row r="68" spans="1:32">
      <c r="A68" s="331"/>
      <c r="B68" s="331"/>
      <c r="C68" s="331"/>
      <c r="D68" s="331"/>
      <c r="E68" s="331"/>
      <c r="F68" s="350"/>
      <c r="G68" s="350"/>
      <c r="H68" s="350"/>
      <c r="I68" s="350"/>
      <c r="J68" s="350"/>
      <c r="K68" s="350"/>
      <c r="L68" s="350"/>
      <c r="M68" s="350"/>
      <c r="N68" s="350"/>
      <c r="O68" s="350"/>
      <c r="P68" s="350"/>
      <c r="Q68" s="350"/>
      <c r="R68" s="350"/>
      <c r="S68" s="350"/>
      <c r="T68" s="350"/>
      <c r="U68" s="331"/>
      <c r="V68" s="331"/>
      <c r="W68" s="331"/>
      <c r="X68" s="331"/>
      <c r="Y68" s="331"/>
      <c r="Z68" s="331"/>
      <c r="AA68" s="331"/>
      <c r="AB68" s="331"/>
      <c r="AC68" s="331"/>
      <c r="AD68" s="331"/>
      <c r="AE68" s="331"/>
      <c r="AF68" s="331"/>
    </row>
    <row r="69" spans="1:32" ht="15.6">
      <c r="A69" s="358" t="s">
        <v>278</v>
      </c>
      <c r="B69" s="384"/>
      <c r="C69" s="384"/>
      <c r="D69" s="384"/>
      <c r="E69" s="383">
        <f>+E67</f>
        <v>-2490000</v>
      </c>
      <c r="F69" s="383">
        <f>E67+F67</f>
        <v>-2099341.0305889663</v>
      </c>
      <c r="G69" s="383">
        <f t="shared" ref="G69:AD69" si="24">+F69+G67</f>
        <v>-1729129.8751361263</v>
      </c>
      <c r="H69" s="383">
        <f t="shared" si="24"/>
        <v>-1361504.3655512708</v>
      </c>
      <c r="I69" s="383">
        <f t="shared" si="24"/>
        <v>-996477.43006374012</v>
      </c>
      <c r="J69" s="383">
        <f t="shared" si="24"/>
        <v>-634062.06154402066</v>
      </c>
      <c r="K69" s="383">
        <f t="shared" si="24"/>
        <v>-274271.31782695145</v>
      </c>
      <c r="L69" s="383">
        <f t="shared" si="24"/>
        <v>82881.677963454102</v>
      </c>
      <c r="M69" s="383">
        <f t="shared" si="24"/>
        <v>437383.73708756274</v>
      </c>
      <c r="N69" s="383">
        <f t="shared" si="24"/>
        <v>789221.60486204317</v>
      </c>
      <c r="O69" s="383">
        <f t="shared" si="24"/>
        <v>1138381.9603301468</v>
      </c>
      <c r="P69" s="383">
        <f t="shared" si="24"/>
        <v>1484851.4159303424</v>
      </c>
      <c r="Q69" s="383">
        <f t="shared" si="24"/>
        <v>1828616.5171632897</v>
      </c>
      <c r="R69" s="383">
        <f t="shared" si="24"/>
        <v>2169663.7422571531</v>
      </c>
      <c r="S69" s="383">
        <f t="shared" si="24"/>
        <v>2507979.5018312368</v>
      </c>
      <c r="T69" s="383">
        <f t="shared" si="24"/>
        <v>2843550.1385579421</v>
      </c>
      <c r="U69" s="383">
        <f t="shared" si="24"/>
        <v>3193237.9170366516</v>
      </c>
      <c r="V69" s="383">
        <f t="shared" si="24"/>
        <v>3540153.0528114373</v>
      </c>
      <c r="W69" s="383">
        <f t="shared" si="24"/>
        <v>3884281.68266878</v>
      </c>
      <c r="X69" s="383">
        <f t="shared" si="24"/>
        <v>4225609.8740790924</v>
      </c>
      <c r="Y69" s="383">
        <f t="shared" si="24"/>
        <v>4564123.62485014</v>
      </c>
      <c r="Z69" s="383">
        <f t="shared" si="24"/>
        <v>4899808.8627787251</v>
      </c>
      <c r="AA69" s="383">
        <f t="shared" si="24"/>
        <v>5232651.4453006368</v>
      </c>
      <c r="AB69" s="383">
        <f t="shared" si="24"/>
        <v>5562637.1591388406</v>
      </c>
      <c r="AC69" s="383">
        <f t="shared" si="24"/>
        <v>5889751.7199499179</v>
      </c>
      <c r="AD69" s="383">
        <f t="shared" si="24"/>
        <v>6213980.7719687345</v>
      </c>
      <c r="AE69" s="331"/>
      <c r="AF69" s="331"/>
    </row>
    <row r="70" spans="1:32">
      <c r="A70" s="331"/>
      <c r="B70" s="331"/>
      <c r="C70" s="331"/>
      <c r="D70" s="331"/>
      <c r="E70" s="331"/>
      <c r="F70" s="350"/>
      <c r="G70" s="350"/>
      <c r="H70" s="350"/>
      <c r="I70" s="350"/>
      <c r="J70" s="350"/>
      <c r="K70" s="350"/>
      <c r="L70" s="350"/>
      <c r="M70" s="350"/>
      <c r="N70" s="350"/>
      <c r="O70" s="350"/>
      <c r="P70" s="350"/>
      <c r="Q70" s="350"/>
      <c r="R70" s="350"/>
      <c r="S70" s="350"/>
      <c r="T70" s="350"/>
      <c r="U70" s="331"/>
      <c r="V70" s="331"/>
      <c r="W70" s="331"/>
      <c r="X70" s="331"/>
      <c r="Y70" s="331"/>
      <c r="Z70" s="331"/>
      <c r="AA70" s="331"/>
      <c r="AB70" s="331"/>
      <c r="AC70" s="331"/>
      <c r="AD70" s="331"/>
      <c r="AE70" s="331"/>
      <c r="AF70" s="331"/>
    </row>
    <row r="71" spans="1:32">
      <c r="A71" s="331"/>
      <c r="B71" s="331"/>
      <c r="C71" s="331"/>
      <c r="D71" s="331"/>
      <c r="E71" s="331"/>
      <c r="F71" s="333"/>
      <c r="G71" s="350"/>
      <c r="H71" s="350"/>
      <c r="I71" s="350"/>
      <c r="J71" s="350"/>
      <c r="K71" s="350"/>
      <c r="L71" s="350"/>
      <c r="M71" s="350"/>
      <c r="N71" s="350"/>
      <c r="O71" s="350"/>
      <c r="P71" s="350"/>
      <c r="Q71" s="350"/>
      <c r="R71" s="350"/>
      <c r="S71" s="350"/>
      <c r="T71" s="350"/>
      <c r="U71" s="331"/>
      <c r="V71" s="331"/>
      <c r="W71" s="331"/>
      <c r="X71" s="331"/>
      <c r="Y71" s="331"/>
      <c r="Z71" s="331"/>
      <c r="AA71" s="331"/>
      <c r="AB71" s="331"/>
      <c r="AC71" s="331"/>
      <c r="AD71" s="331"/>
      <c r="AE71" s="331"/>
      <c r="AF71" s="331"/>
    </row>
    <row r="72" spans="1:32" ht="15.6">
      <c r="A72" s="358" t="s">
        <v>297</v>
      </c>
      <c r="B72" s="359"/>
      <c r="C72" s="359"/>
      <c r="D72" s="359"/>
      <c r="E72" s="359"/>
      <c r="F72" s="385">
        <f>AE67</f>
        <v>6213980.7719687345</v>
      </c>
      <c r="G72" s="386"/>
      <c r="H72" s="386"/>
      <c r="I72" s="386"/>
      <c r="J72" s="386"/>
      <c r="K72" s="386"/>
      <c r="L72" s="386"/>
      <c r="M72" s="386"/>
      <c r="N72" s="386"/>
      <c r="O72" s="386"/>
      <c r="P72" s="386"/>
      <c r="Q72" s="386"/>
      <c r="R72" s="386"/>
      <c r="S72" s="386"/>
      <c r="T72" s="386"/>
      <c r="U72" s="386"/>
      <c r="V72" s="386"/>
      <c r="W72" s="386"/>
      <c r="X72" s="386"/>
      <c r="Y72" s="386"/>
      <c r="Z72" s="386"/>
      <c r="AA72" s="386"/>
      <c r="AB72" s="386"/>
      <c r="AC72" s="386"/>
      <c r="AD72" s="386"/>
      <c r="AE72" s="386"/>
      <c r="AF72" s="361"/>
    </row>
    <row r="73" spans="1:32" ht="15.6">
      <c r="A73" s="331"/>
      <c r="B73" s="331"/>
      <c r="C73" s="331"/>
      <c r="D73" s="331"/>
      <c r="E73" s="331"/>
      <c r="F73" s="333"/>
      <c r="G73" s="386"/>
      <c r="H73" s="386"/>
      <c r="I73" s="386"/>
      <c r="J73" s="386"/>
      <c r="K73" s="386"/>
      <c r="L73" s="386"/>
      <c r="M73" s="386"/>
      <c r="N73" s="386"/>
      <c r="O73" s="386"/>
      <c r="P73" s="386"/>
      <c r="Q73" s="386"/>
      <c r="R73" s="386"/>
      <c r="S73" s="386"/>
      <c r="T73" s="386"/>
      <c r="U73" s="386"/>
      <c r="V73" s="386"/>
      <c r="W73" s="386"/>
      <c r="X73" s="386"/>
      <c r="Y73" s="386"/>
      <c r="Z73" s="386"/>
      <c r="AA73" s="386"/>
      <c r="AB73" s="386"/>
      <c r="AC73" s="386"/>
      <c r="AD73" s="386"/>
      <c r="AE73" s="386"/>
      <c r="AF73" s="331"/>
    </row>
    <row r="74" spans="1:32" ht="15.6">
      <c r="A74" s="358" t="s">
        <v>279</v>
      </c>
      <c r="B74" s="359"/>
      <c r="C74" s="359"/>
      <c r="D74" s="359"/>
      <c r="E74" s="359"/>
      <c r="F74" s="387">
        <f>F55/B8</f>
        <v>0.14192286212695204</v>
      </c>
      <c r="G74" s="361"/>
      <c r="H74" s="388"/>
      <c r="I74" s="361"/>
      <c r="J74" s="361"/>
      <c r="K74" s="361"/>
      <c r="L74" s="361"/>
      <c r="M74" s="361"/>
      <c r="N74" s="361"/>
      <c r="O74" s="361"/>
      <c r="P74" s="361"/>
      <c r="Q74" s="361"/>
      <c r="R74" s="361"/>
      <c r="S74" s="361"/>
      <c r="T74" s="361"/>
      <c r="U74" s="361"/>
      <c r="V74" s="361"/>
      <c r="W74" s="361"/>
      <c r="X74" s="361"/>
      <c r="Y74" s="361"/>
      <c r="Z74" s="361"/>
      <c r="AA74" s="361"/>
      <c r="AB74" s="361"/>
      <c r="AC74" s="361"/>
      <c r="AD74" s="361"/>
      <c r="AE74" s="361"/>
      <c r="AF74" s="361"/>
    </row>
    <row r="75" spans="1:32" ht="15" thickBot="1">
      <c r="A75" s="331"/>
      <c r="B75" s="331"/>
      <c r="C75" s="331"/>
      <c r="D75" s="331"/>
      <c r="E75" s="331"/>
      <c r="F75" s="333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2"/>
      <c r="T75" s="332"/>
      <c r="U75" s="331"/>
      <c r="V75" s="331"/>
      <c r="W75" s="331"/>
      <c r="X75" s="331"/>
      <c r="Y75" s="331"/>
      <c r="Z75" s="331"/>
      <c r="AA75" s="331"/>
      <c r="AB75" s="331"/>
      <c r="AC75" s="331"/>
      <c r="AD75" s="331"/>
      <c r="AE75" s="331"/>
      <c r="AF75" s="331"/>
    </row>
    <row r="76" spans="1:32" ht="16.2" thickBot="1">
      <c r="A76" s="389" t="s">
        <v>280</v>
      </c>
      <c r="B76" s="390"/>
      <c r="C76" s="390"/>
      <c r="D76" s="390"/>
      <c r="E76" s="390"/>
      <c r="F76" s="391">
        <f>F67/B10</f>
        <v>0.15689115237390919</v>
      </c>
      <c r="G76" s="361"/>
      <c r="H76" s="361"/>
      <c r="I76" s="361"/>
      <c r="J76" s="361"/>
      <c r="K76" s="361"/>
      <c r="L76" s="361"/>
      <c r="M76" s="361"/>
      <c r="N76" s="361"/>
      <c r="O76" s="361"/>
      <c r="P76" s="361"/>
      <c r="Q76" s="361"/>
      <c r="R76" s="361"/>
      <c r="S76" s="361"/>
      <c r="T76" s="361"/>
      <c r="U76" s="361"/>
      <c r="V76" s="361"/>
      <c r="W76" s="361"/>
      <c r="X76" s="361"/>
      <c r="Y76" s="361"/>
      <c r="Z76" s="361"/>
      <c r="AA76" s="361"/>
      <c r="AB76" s="361"/>
      <c r="AC76" s="361"/>
      <c r="AD76" s="361"/>
      <c r="AE76" s="361"/>
      <c r="AF76" s="361"/>
    </row>
    <row r="77" spans="1:32">
      <c r="A77" s="331"/>
      <c r="B77" s="331"/>
      <c r="C77" s="331"/>
      <c r="D77" s="331"/>
      <c r="E77" s="331"/>
      <c r="F77" s="333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1"/>
      <c r="V77" s="331"/>
      <c r="W77" s="331"/>
      <c r="X77" s="331"/>
      <c r="Y77" s="331"/>
      <c r="Z77" s="331"/>
      <c r="AA77" s="331"/>
      <c r="AB77" s="331"/>
      <c r="AC77" s="331"/>
      <c r="AD77" s="331"/>
      <c r="AE77" s="331"/>
      <c r="AF77" s="331"/>
    </row>
    <row r="78" spans="1:32" ht="15.6">
      <c r="A78" s="392" t="s">
        <v>281</v>
      </c>
      <c r="B78" s="393"/>
      <c r="C78" s="393"/>
      <c r="D78" s="393"/>
      <c r="E78" s="393"/>
      <c r="F78" s="394">
        <f>COUNTIF(F69:AD69,"&lt;0")+1</f>
        <v>7</v>
      </c>
      <c r="G78" s="361"/>
      <c r="H78" s="361"/>
      <c r="I78" s="361"/>
      <c r="J78" s="361"/>
      <c r="K78" s="361"/>
      <c r="L78" s="361"/>
      <c r="M78" s="361"/>
      <c r="N78" s="361"/>
      <c r="O78" s="361"/>
      <c r="P78" s="361"/>
      <c r="Q78" s="361"/>
      <c r="R78" s="361"/>
      <c r="S78" s="361"/>
      <c r="T78" s="361"/>
      <c r="U78" s="361"/>
      <c r="V78" s="361"/>
      <c r="W78" s="361"/>
      <c r="X78" s="361"/>
      <c r="Y78" s="361"/>
      <c r="Z78" s="361"/>
      <c r="AA78" s="361"/>
      <c r="AB78" s="361"/>
      <c r="AC78" s="361"/>
      <c r="AD78" s="361"/>
      <c r="AE78" s="361"/>
      <c r="AF78" s="361"/>
    </row>
    <row r="79" spans="1:32">
      <c r="A79" s="395"/>
      <c r="B79" s="396"/>
      <c r="C79" s="396"/>
      <c r="D79" s="396"/>
      <c r="E79" s="396"/>
      <c r="F79" s="397"/>
      <c r="G79" s="331"/>
      <c r="H79" s="331"/>
      <c r="I79" s="331"/>
      <c r="J79" s="331"/>
      <c r="K79" s="331"/>
      <c r="L79" s="331"/>
      <c r="M79" s="331"/>
      <c r="N79" s="331"/>
      <c r="O79" s="331"/>
      <c r="P79" s="331"/>
      <c r="Q79" s="331"/>
      <c r="R79" s="331"/>
      <c r="S79" s="331"/>
      <c r="T79" s="331"/>
      <c r="U79" s="331"/>
      <c r="V79" s="331"/>
      <c r="W79" s="331"/>
      <c r="X79" s="331"/>
      <c r="Y79" s="331"/>
      <c r="Z79" s="331"/>
      <c r="AA79" s="331"/>
      <c r="AB79" s="331"/>
      <c r="AC79" s="331"/>
      <c r="AD79" s="331"/>
      <c r="AE79" s="331"/>
      <c r="AF79" s="331"/>
    </row>
    <row r="80" spans="1:32">
      <c r="A80" s="354" t="s">
        <v>282</v>
      </c>
      <c r="B80" s="331"/>
      <c r="C80" s="331"/>
      <c r="D80" s="331"/>
      <c r="E80" s="331"/>
      <c r="F80" s="331"/>
      <c r="G80" s="331"/>
      <c r="H80" s="331"/>
      <c r="I80" s="331"/>
      <c r="J80" s="331"/>
      <c r="K80" s="331"/>
      <c r="L80" s="331"/>
      <c r="M80" s="331"/>
      <c r="N80" s="331"/>
      <c r="O80" s="331"/>
      <c r="P80" s="331"/>
      <c r="Q80" s="331"/>
      <c r="R80" s="331"/>
      <c r="S80" s="331"/>
      <c r="T80" s="331"/>
      <c r="U80" s="331"/>
      <c r="V80" s="331"/>
      <c r="W80" s="331"/>
      <c r="X80" s="331"/>
      <c r="Y80" s="331"/>
      <c r="Z80" s="331"/>
      <c r="AA80" s="331"/>
      <c r="AB80" s="331"/>
      <c r="AC80" s="331"/>
      <c r="AD80" s="331"/>
      <c r="AE80" s="331"/>
      <c r="AF80" s="331"/>
    </row>
    <row r="81" spans="1:32">
      <c r="A81" s="354" t="s">
        <v>283</v>
      </c>
      <c r="B81" s="331"/>
      <c r="C81" s="331"/>
      <c r="D81" s="331"/>
      <c r="E81" s="331"/>
      <c r="F81" s="331"/>
      <c r="G81" s="331"/>
      <c r="H81" s="331"/>
      <c r="I81" s="331"/>
      <c r="J81" s="331"/>
      <c r="K81" s="331"/>
      <c r="L81" s="331"/>
      <c r="M81" s="331"/>
      <c r="N81" s="331"/>
      <c r="O81" s="331"/>
      <c r="P81" s="331"/>
      <c r="Q81" s="331"/>
      <c r="R81" s="331"/>
      <c r="S81" s="331"/>
      <c r="T81" s="331"/>
      <c r="U81" s="331"/>
      <c r="V81" s="331"/>
      <c r="W81" s="331"/>
      <c r="X81" s="331"/>
      <c r="Y81" s="331"/>
      <c r="Z81" s="331"/>
      <c r="AA81" s="331"/>
      <c r="AB81" s="331"/>
      <c r="AC81" s="331"/>
      <c r="AD81" s="331"/>
      <c r="AE81" s="331"/>
      <c r="AF81" s="331"/>
    </row>
    <row r="82" spans="1:32">
      <c r="A82" s="354" t="s">
        <v>284</v>
      </c>
      <c r="B82" s="331"/>
      <c r="C82" s="331"/>
      <c r="D82" s="331"/>
      <c r="E82" s="331"/>
      <c r="F82" s="331"/>
      <c r="G82" s="331"/>
      <c r="H82" s="331"/>
      <c r="I82" s="331"/>
      <c r="J82" s="331"/>
      <c r="K82" s="331"/>
      <c r="L82" s="331"/>
      <c r="M82" s="331"/>
      <c r="N82" s="331"/>
      <c r="O82" s="331"/>
      <c r="P82" s="331"/>
      <c r="Q82" s="331"/>
      <c r="R82" s="331"/>
      <c r="S82" s="331"/>
      <c r="T82" s="331"/>
      <c r="U82" s="331"/>
      <c r="V82" s="331"/>
      <c r="W82" s="331"/>
      <c r="X82" s="331"/>
      <c r="Y82" s="331"/>
      <c r="Z82" s="331"/>
      <c r="AA82" s="331"/>
      <c r="AB82" s="331"/>
      <c r="AC82" s="331"/>
      <c r="AD82" s="331"/>
      <c r="AE82" s="331"/>
      <c r="AF82" s="331"/>
    </row>
    <row r="83" spans="1:32">
      <c r="A83" s="354" t="s">
        <v>285</v>
      </c>
      <c r="B83" s="331"/>
      <c r="C83" s="331"/>
      <c r="D83" s="331"/>
      <c r="E83" s="331"/>
      <c r="F83" s="331"/>
      <c r="G83" s="331"/>
      <c r="H83" s="331"/>
      <c r="I83" s="331"/>
      <c r="J83" s="331"/>
      <c r="K83" s="331"/>
      <c r="L83" s="331"/>
      <c r="M83" s="331"/>
      <c r="N83" s="331"/>
      <c r="O83" s="331"/>
      <c r="P83" s="331"/>
      <c r="Q83" s="331"/>
      <c r="R83" s="331"/>
      <c r="S83" s="331"/>
      <c r="T83" s="331"/>
      <c r="U83" s="331"/>
      <c r="V83" s="331"/>
      <c r="W83" s="331"/>
      <c r="X83" s="331"/>
      <c r="Y83" s="331"/>
      <c r="Z83" s="331"/>
      <c r="AA83" s="331"/>
      <c r="AB83" s="331"/>
      <c r="AC83" s="331"/>
      <c r="AD83" s="331"/>
      <c r="AE83" s="331"/>
      <c r="AF83" s="331"/>
    </row>
    <row r="84" spans="1:32">
      <c r="A84" s="398"/>
      <c r="B84" s="331"/>
      <c r="C84" s="331"/>
      <c r="D84" s="331"/>
      <c r="E84" s="331"/>
      <c r="F84" s="331"/>
      <c r="G84" s="331"/>
      <c r="H84" s="331"/>
      <c r="I84" s="331"/>
      <c r="J84" s="331"/>
      <c r="K84" s="331"/>
      <c r="L84" s="331"/>
      <c r="M84" s="331"/>
      <c r="N84" s="331"/>
      <c r="O84" s="331"/>
      <c r="P84" s="331"/>
      <c r="Q84" s="331"/>
      <c r="R84" s="331"/>
      <c r="S84" s="331"/>
      <c r="T84" s="331"/>
      <c r="U84" s="331"/>
      <c r="V84" s="331"/>
      <c r="W84" s="331"/>
      <c r="X84" s="331"/>
      <c r="Y84" s="331"/>
      <c r="Z84" s="331"/>
      <c r="AA84" s="331"/>
      <c r="AB84" s="331"/>
      <c r="AC84" s="331"/>
      <c r="AD84" s="331"/>
      <c r="AE84" s="331"/>
      <c r="AF84" s="331"/>
    </row>
    <row r="90" spans="1:32">
      <c r="A90">
        <v>0</v>
      </c>
      <c r="B90" s="435"/>
    </row>
    <row r="91" spans="1:32">
      <c r="A91">
        <f>A90+1</f>
        <v>1</v>
      </c>
      <c r="B91" s="435"/>
    </row>
    <row r="92" spans="1:32">
      <c r="A92">
        <f t="shared" ref="A92:A115" si="25">A91+1</f>
        <v>2</v>
      </c>
      <c r="B92" s="435"/>
    </row>
    <row r="93" spans="1:32">
      <c r="A93">
        <f t="shared" si="25"/>
        <v>3</v>
      </c>
      <c r="B93" s="435"/>
    </row>
    <row r="94" spans="1:32">
      <c r="A94">
        <f t="shared" si="25"/>
        <v>4</v>
      </c>
      <c r="B94" s="435"/>
    </row>
    <row r="95" spans="1:32">
      <c r="A95">
        <f t="shared" si="25"/>
        <v>5</v>
      </c>
      <c r="B95" s="435"/>
    </row>
    <row r="96" spans="1:32">
      <c r="A96">
        <f t="shared" si="25"/>
        <v>6</v>
      </c>
      <c r="B96" s="435"/>
    </row>
    <row r="97" spans="1:2">
      <c r="A97">
        <f t="shared" si="25"/>
        <v>7</v>
      </c>
      <c r="B97" s="435"/>
    </row>
    <row r="98" spans="1:2">
      <c r="A98">
        <f t="shared" si="25"/>
        <v>8</v>
      </c>
      <c r="B98" s="435"/>
    </row>
    <row r="99" spans="1:2">
      <c r="A99">
        <f t="shared" si="25"/>
        <v>9</v>
      </c>
      <c r="B99" s="435"/>
    </row>
    <row r="100" spans="1:2">
      <c r="A100">
        <f t="shared" si="25"/>
        <v>10</v>
      </c>
      <c r="B100" s="435"/>
    </row>
    <row r="101" spans="1:2">
      <c r="A101">
        <f t="shared" si="25"/>
        <v>11</v>
      </c>
      <c r="B101" s="435"/>
    </row>
    <row r="102" spans="1:2">
      <c r="A102">
        <f t="shared" si="25"/>
        <v>12</v>
      </c>
      <c r="B102" s="435"/>
    </row>
    <row r="103" spans="1:2">
      <c r="A103">
        <f t="shared" si="25"/>
        <v>13</v>
      </c>
      <c r="B103" s="435"/>
    </row>
    <row r="104" spans="1:2">
      <c r="A104">
        <f t="shared" si="25"/>
        <v>14</v>
      </c>
      <c r="B104" s="435"/>
    </row>
    <row r="105" spans="1:2">
      <c r="A105">
        <f t="shared" si="25"/>
        <v>15</v>
      </c>
      <c r="B105" s="435"/>
    </row>
    <row r="106" spans="1:2">
      <c r="A106">
        <f t="shared" si="25"/>
        <v>16</v>
      </c>
      <c r="B106" s="435"/>
    </row>
    <row r="107" spans="1:2">
      <c r="A107">
        <f t="shared" si="25"/>
        <v>17</v>
      </c>
      <c r="B107" s="435"/>
    </row>
    <row r="108" spans="1:2">
      <c r="A108">
        <f t="shared" si="25"/>
        <v>18</v>
      </c>
      <c r="B108" s="435"/>
    </row>
    <row r="109" spans="1:2">
      <c r="A109">
        <f t="shared" si="25"/>
        <v>19</v>
      </c>
      <c r="B109" s="435"/>
    </row>
    <row r="110" spans="1:2">
      <c r="A110">
        <f t="shared" si="25"/>
        <v>20</v>
      </c>
      <c r="B110" s="435"/>
    </row>
    <row r="111" spans="1:2">
      <c r="A111">
        <f t="shared" si="25"/>
        <v>21</v>
      </c>
      <c r="B111" s="435"/>
    </row>
    <row r="112" spans="1:2">
      <c r="A112">
        <f t="shared" si="25"/>
        <v>22</v>
      </c>
      <c r="B112" s="435"/>
    </row>
    <row r="113" spans="1:2">
      <c r="A113">
        <f t="shared" si="25"/>
        <v>23</v>
      </c>
      <c r="B113" s="435"/>
    </row>
    <row r="114" spans="1:2">
      <c r="A114">
        <f t="shared" si="25"/>
        <v>24</v>
      </c>
      <c r="B114" s="435"/>
    </row>
    <row r="115" spans="1:2">
      <c r="A115">
        <f t="shared" si="25"/>
        <v>25</v>
      </c>
      <c r="B115" s="435"/>
    </row>
  </sheetData>
  <dataValidations disablePrompts="1" count="1">
    <dataValidation type="list" allowBlank="1" showInputMessage="1" showErrorMessage="1" sqref="B17:B21" xr:uid="{3B8C5651-B39C-41B4-8EB2-40009FB878D3}">
      <formula1>"180,200"</formula1>
    </dataValidation>
  </dataValidations>
  <hyperlinks>
    <hyperlink ref="C11" r:id="rId1" xr:uid="{EEB0119C-4C5D-448B-BD39-EAD8C06D0B8B}"/>
  </hyperlinks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TABELLE&amp;REG.DEL.UE 2015 24</vt:lpstr>
      <vt:lpstr>Calcolo</vt:lpstr>
      <vt:lpstr>Taratura</vt:lpstr>
      <vt:lpstr>Piano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Cerino Abdin</dc:creator>
  <cp:lastModifiedBy>Alberto</cp:lastModifiedBy>
  <dcterms:created xsi:type="dcterms:W3CDTF">2015-06-08T06:12:59Z</dcterms:created>
  <dcterms:modified xsi:type="dcterms:W3CDTF">2022-10-05T13:15:35Z</dcterms:modified>
</cp:coreProperties>
</file>